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5475" activeTab="0"/>
  </bookViews>
  <sheets>
    <sheet name="OPIS97" sheetId="1" r:id="rId1"/>
  </sheets>
  <definedNames/>
  <calcPr fullCalcOnLoad="1"/>
</workbook>
</file>

<file path=xl/sharedStrings.xml><?xml version="1.0" encoding="utf-8"?>
<sst xmlns="http://schemas.openxmlformats.org/spreadsheetml/2006/main" count="696" uniqueCount="593">
  <si>
    <t xml:space="preserve">   z koksu na gaz</t>
  </si>
  <si>
    <t xml:space="preserve">   komunalnych</t>
  </si>
  <si>
    <t xml:space="preserve">   budowy i prowadzenia  schroniska dla zwierząt</t>
  </si>
  <si>
    <t xml:space="preserve">   w m.Międzyzdroje" zgodnie z umową nr 4/2004 z 23.07.2004r.</t>
  </si>
  <si>
    <t xml:space="preserve">   projektu inwestycyjnego realizowanego przez ZGWW</t>
  </si>
  <si>
    <t xml:space="preserve">   zgłoszonego do Funduszu Spójności UE</t>
  </si>
  <si>
    <t>2.dokumentacja oświetlenia-ul.Turystyczna,Usługowa,Pl.Neptuna</t>
  </si>
  <si>
    <t>3.dokumentacja oświetlenia-Góra Filaretów</t>
  </si>
  <si>
    <t>OBRONA NARODOWA</t>
  </si>
  <si>
    <t>wydatki obronne</t>
  </si>
  <si>
    <t>Opis dochodów   w  zł</t>
  </si>
  <si>
    <t>w tym :</t>
  </si>
  <si>
    <t>OŚWIATA  I  WYCHOWANIE</t>
  </si>
  <si>
    <t>z tego:</t>
  </si>
  <si>
    <t xml:space="preserve">     siłowni i innych </t>
  </si>
  <si>
    <t xml:space="preserve">     z czego przpada na:</t>
  </si>
  <si>
    <t xml:space="preserve">     szkoła podstawowa nr 1 </t>
  </si>
  <si>
    <t xml:space="preserve">     szkoła podstawowa nr 2</t>
  </si>
  <si>
    <t xml:space="preserve">     gimnazjum</t>
  </si>
  <si>
    <t xml:space="preserve">   z czego przypada na:</t>
  </si>
  <si>
    <t xml:space="preserve">   szkoła podstawowa nr 1</t>
  </si>
  <si>
    <t>w tym:</t>
  </si>
  <si>
    <t>DOCHODY  OD  OSÓB  PRAWNYCH, OSÓB FIZYCZNYCH</t>
  </si>
  <si>
    <t xml:space="preserve">  zadań z zakresu spraw obywatelskich/ewid.ludn. i USC/ </t>
  </si>
  <si>
    <t>RÓŻNE  ROZLICZENIA</t>
  </si>
  <si>
    <t xml:space="preserve"> D O C H O D Y     O G Ó Ł E M</t>
  </si>
  <si>
    <t>Opis wydatków  w zł</t>
  </si>
  <si>
    <t>1.utrzymanie szkoły podstawowej nr 1</t>
  </si>
  <si>
    <t xml:space="preserve">   w tym:</t>
  </si>
  <si>
    <t xml:space="preserve">   a/szkoła nr 1</t>
  </si>
  <si>
    <t xml:space="preserve">   b/szkoła nr 2</t>
  </si>
  <si>
    <t>OCHRONA  ZDROWIA</t>
  </si>
  <si>
    <t>KULTURA  FIZYCZNA  I  SPORT</t>
  </si>
  <si>
    <t>1.zadania  zlecone - sprawy obywatelskie</t>
  </si>
  <si>
    <t>Wydatki inwestycyjne i majątkowe - ogółem</t>
  </si>
  <si>
    <t xml:space="preserve">O G Ó Ł E M       W Y D A T K I </t>
  </si>
  <si>
    <t>ROLNICTWO  I  ŁOWIECTWO</t>
  </si>
  <si>
    <t>Dział 630</t>
  </si>
  <si>
    <t>TURYSTYKA</t>
  </si>
  <si>
    <t>Dział 700</t>
  </si>
  <si>
    <t>GOSPODARKA  MIESZKANIOWA</t>
  </si>
  <si>
    <t xml:space="preserve">   nieruchomości</t>
  </si>
  <si>
    <t xml:space="preserve">   Państwa  lub jedn.samorządu teryt.oraz innych</t>
  </si>
  <si>
    <t xml:space="preserve">   umów o podobnym charakterze</t>
  </si>
  <si>
    <t xml:space="preserve">   przysług.osobom fizycznym w prawo wlasności</t>
  </si>
  <si>
    <t xml:space="preserve"> a/ sprzedaż gruntu:</t>
  </si>
  <si>
    <t xml:space="preserve"> b/lokali mieszkalnych</t>
  </si>
  <si>
    <t>Dział 750</t>
  </si>
  <si>
    <t>ADMINISTRACJA  PUBLICZNA</t>
  </si>
  <si>
    <t>Dział 751</t>
  </si>
  <si>
    <t>URZĘDY NACZELNYCH ORGANÓW WŁADZY PAŃSTWOWEJ...</t>
  </si>
  <si>
    <t>Dział 754</t>
  </si>
  <si>
    <t>BEZPIECZEŃSTWO PUBLICZNE I OCHRONA PRZECIWPOŻAROWA</t>
  </si>
  <si>
    <t>Dział 756</t>
  </si>
  <si>
    <t>I  OD INNYCH.....</t>
  </si>
  <si>
    <t>1.podatek od działalności gospodarczej osób fizycznych</t>
  </si>
  <si>
    <t>Dział 758</t>
  </si>
  <si>
    <t>Dział 801</t>
  </si>
  <si>
    <t>Dział 854</t>
  </si>
  <si>
    <t>EDUKACYJNA OPIEKA WYCHOWAWCZA</t>
  </si>
  <si>
    <t>Dział 900</t>
  </si>
  <si>
    <t>GOSPODARKA KOMUNALNA I OCHRONA</t>
  </si>
  <si>
    <t>ŚRODOWISKA</t>
  </si>
  <si>
    <t>Dział 600</t>
  </si>
  <si>
    <t>TRANSPORT I ŁĄCZNOŚĆ</t>
  </si>
  <si>
    <t>Wydatki bieżące ogółem</t>
  </si>
  <si>
    <t xml:space="preserve">   ( wyceny nieruchomości,ogłoszenia o prztargach i inne)</t>
  </si>
  <si>
    <t>Dział 710</t>
  </si>
  <si>
    <t>DZIAŁALNOŚĆ  USŁUGOWA</t>
  </si>
  <si>
    <t>1.plan zagospodarowania przestrzennego</t>
  </si>
  <si>
    <t xml:space="preserve">   (podziały gruntu,wykazy zmian gruntowych, aktualizacja</t>
  </si>
  <si>
    <t xml:space="preserve">    mapy  i inne)</t>
  </si>
  <si>
    <t>ADMINISTRACJA   PUBLICZNA</t>
  </si>
  <si>
    <t>URZĘDY NACZELNYCH ORGANÓW WŁADZY PAŃSTWOWEJ....</t>
  </si>
  <si>
    <t>BEZPIECZEŃSTWO  PUBLICZNE  I OCHRONA PRZECIWPOŻAROWA</t>
  </si>
  <si>
    <t>Dział 757</t>
  </si>
  <si>
    <t>OBSŁUGA DŁUGU PUBLICZNEGO</t>
  </si>
  <si>
    <t>2.odsetki od pożyczek i kredytów</t>
  </si>
  <si>
    <t>RÓŻNE ROZLICZENIA</t>
  </si>
  <si>
    <t>Dział 851</t>
  </si>
  <si>
    <t>1.utrzymanie świetlic szkolnych ( szkoła nr 1 i gimnazjum)</t>
  </si>
  <si>
    <t>GOSPODARKA  KOMUNALNA I OCHRONA ŚRODOWISKA</t>
  </si>
  <si>
    <t>KULTURA  I OCHRONA DZIEDZICTWA NARODOWEGO</t>
  </si>
  <si>
    <t>1.dotacja dla Międzynarodowego Domu Kultury</t>
  </si>
  <si>
    <t xml:space="preserve">2.dotacja dla  biblioteki </t>
  </si>
  <si>
    <t>Dział 926</t>
  </si>
  <si>
    <t>Dział 921</t>
  </si>
  <si>
    <t xml:space="preserve">P r z y c h o d y   ogółem wynoszą </t>
  </si>
  <si>
    <t>w tym m.in.:</t>
  </si>
  <si>
    <t>Zakład Wodociągów i Kanalizacji w Międzyzdrojach</t>
  </si>
  <si>
    <t>1 /wpływy z tyt.dostawy wody pitnej</t>
  </si>
  <si>
    <t>2/ wpływy z tyt.oczyszczania i odprowadzania ścieków</t>
  </si>
  <si>
    <t>2/ wydatki na zakup materiałów, a w szczególności</t>
  </si>
  <si>
    <t xml:space="preserve">   części zamiennych,materiałów konserwacyjnych </t>
  </si>
  <si>
    <t xml:space="preserve">   paliwa do samochodów,odzieży roboczej i ochronnej,</t>
  </si>
  <si>
    <t xml:space="preserve">   środków czystości,materiałów biurowych itp..</t>
  </si>
  <si>
    <t>6/ podatki i opłaty na rzecz budżetu :</t>
  </si>
  <si>
    <t xml:space="preserve">    -podatek od nieruchomości</t>
  </si>
  <si>
    <t xml:space="preserve">    -opłaty za szczególne korzystanie</t>
  </si>
  <si>
    <t xml:space="preserve">     z wód  i środowiska</t>
  </si>
  <si>
    <t>Zakład Ochrony Środowiska w Międzyzdrojach</t>
  </si>
  <si>
    <t>1/ sprzedaż usług: oczyszczanie miasta,wywóz</t>
  </si>
  <si>
    <t xml:space="preserve">    wysypiska , itp.</t>
  </si>
  <si>
    <t>2/ zakup materiałów,paliwa,części zamiennych,</t>
  </si>
  <si>
    <t>Gminny Fundusz Ochrony Środowiska i Gospodarki Wodnej</t>
  </si>
  <si>
    <t>Dział O10</t>
  </si>
  <si>
    <t>wydatki</t>
  </si>
  <si>
    <t>realiz.</t>
  </si>
  <si>
    <t>plan</t>
  </si>
  <si>
    <t>wykonanie</t>
  </si>
  <si>
    <t>Strukt.</t>
  </si>
  <si>
    <t xml:space="preserve">    z tego:</t>
  </si>
  <si>
    <t xml:space="preserve">    b/ spłata udzielonej pożyczki przez ZOŚ</t>
  </si>
  <si>
    <t xml:space="preserve">    c/ wolne środki na rachunku Gminy</t>
  </si>
  <si>
    <t xml:space="preserve">    d/ kredyt w rachunku bieżącym</t>
  </si>
  <si>
    <t>1/ Przychody</t>
  </si>
  <si>
    <t>razem</t>
  </si>
  <si>
    <t>2/ Rozchody</t>
  </si>
  <si>
    <t xml:space="preserve">3/ Przychody minus rozchody wynoszą </t>
  </si>
  <si>
    <t>6.wpływy ze sprzedaży mienia komunalnego:</t>
  </si>
  <si>
    <t>7.odsetki od nieterminowej płatności zobowiązań</t>
  </si>
  <si>
    <t>DZIAŁALNOŚĆ USŁUGOWA</t>
  </si>
  <si>
    <t xml:space="preserve">   a/subwencja na zadania oświatowe</t>
  </si>
  <si>
    <t>2/ dzierżawy sal lekcyjnych,gimnastycznych</t>
  </si>
  <si>
    <t xml:space="preserve">   gimnazjum</t>
  </si>
  <si>
    <t>3/wpływy z usług (odpłatność za wyżywienie)</t>
  </si>
  <si>
    <t xml:space="preserve">Dochody ogółem </t>
  </si>
  <si>
    <t>Dochody ogółem</t>
  </si>
  <si>
    <t xml:space="preserve">   c/gimnazjum</t>
  </si>
  <si>
    <t>wpłata Gminy na rzecz Izb Rolniczych</t>
  </si>
  <si>
    <t>1.utrzymanie dróg publicznych powiatowych</t>
  </si>
  <si>
    <t>2.utrzymanie dróg publicznych gminnych</t>
  </si>
  <si>
    <t xml:space="preserve">1.prowizja z tytułu gwarancji bankowej i kredytów </t>
  </si>
  <si>
    <t xml:space="preserve">   w tym m.in..:</t>
  </si>
  <si>
    <t xml:space="preserve">   a/wynagrodzenia i składki ZUS nauczycieli</t>
  </si>
  <si>
    <t xml:space="preserve">   b/wynagrodzenia i składki ZUS pracowników</t>
  </si>
  <si>
    <t xml:space="preserve">   c/wynagrodzenia i składki ZUS pracowników</t>
  </si>
  <si>
    <t xml:space="preserve">   d/zapomogi dla nauczycieli</t>
  </si>
  <si>
    <t>realizacja</t>
  </si>
  <si>
    <t xml:space="preserve">      z tego m.inn.:</t>
  </si>
  <si>
    <t xml:space="preserve">      1/zakup opału</t>
  </si>
  <si>
    <t xml:space="preserve">      2/materiały do remontu i konserwcji</t>
  </si>
  <si>
    <t xml:space="preserve">      6/zakup środków żywności</t>
  </si>
  <si>
    <t xml:space="preserve">      3/energia</t>
  </si>
  <si>
    <t xml:space="preserve">      4/ woda</t>
  </si>
  <si>
    <t xml:space="preserve">      5/naprawy i konserwacje</t>
  </si>
  <si>
    <t xml:space="preserve">    h/odpisy na zakładowy fundusz świadczeń </t>
  </si>
  <si>
    <t xml:space="preserve">       socjalnych</t>
  </si>
  <si>
    <t>2.utrzymanie szkoły podstawowej nr 2</t>
  </si>
  <si>
    <t xml:space="preserve">   d/dodatek wiejski i dod.mieszkaniowe</t>
  </si>
  <si>
    <t xml:space="preserve">      3/energia,gaz i paliwo</t>
  </si>
  <si>
    <t xml:space="preserve">      5/gaz opałowy</t>
  </si>
  <si>
    <t xml:space="preserve">      8/zakup środków żywności</t>
  </si>
  <si>
    <t xml:space="preserve">    dla nauczycieli emerytów i rencistów</t>
  </si>
  <si>
    <t>1/ wynagrodzenia i składki ZUS 30 pracowników</t>
  </si>
  <si>
    <t>K o s z t y   ogółem wynoszą</t>
  </si>
  <si>
    <t>P r z y c h o d y   ogółem wynoszą</t>
  </si>
  <si>
    <t>2/ odsetki</t>
  </si>
  <si>
    <t>K o s z t y    ogółem wynoszą</t>
  </si>
  <si>
    <t xml:space="preserve">    a/ kredyty bankowe i pożyczki</t>
  </si>
  <si>
    <t>Dochody  stanowi opłata miejscowa i odsetki</t>
  </si>
  <si>
    <t xml:space="preserve">   opłacany w formie karty podatkowej i odsetki</t>
  </si>
  <si>
    <t xml:space="preserve">   szkoła podstawowa nr 2</t>
  </si>
  <si>
    <t>4/ odsetki od środków na rachunkach bankowych</t>
  </si>
  <si>
    <t>1/ wpływy z różnych opłat i innych dochodów</t>
  </si>
  <si>
    <t xml:space="preserve">    (awans zawodowy nauczycieli)</t>
  </si>
  <si>
    <t>3.dotacja na Festiwal Pieśni Chóralnej</t>
  </si>
  <si>
    <t>4.dotacja na Wakacyjny Festiwal Gwiazd</t>
  </si>
  <si>
    <t>3/ zakup energii i wody</t>
  </si>
  <si>
    <t>4/ zakup usług remontowych (usługi naprawcze</t>
  </si>
  <si>
    <t xml:space="preserve">    i konserwacyjne środków transportu,maszyn,urzadzeń</t>
  </si>
  <si>
    <t>5/ zakup usług pozostałych ( transportowe,komputerowe</t>
  </si>
  <si>
    <t xml:space="preserve">    a także kominiarskie,prawnicze, wywóz nieczystości</t>
  </si>
  <si>
    <t xml:space="preserve">    opłaty pocztowe,bankowe i telefoniczne,badania</t>
  </si>
  <si>
    <t xml:space="preserve">    wody i ścieków ,itp..)</t>
  </si>
  <si>
    <t xml:space="preserve">    sprzętu itp..)</t>
  </si>
  <si>
    <t xml:space="preserve">    a/ spłaty kredytów i pożyczek</t>
  </si>
  <si>
    <t xml:space="preserve">    b/ pożyczka dla ZOŚ</t>
  </si>
  <si>
    <t xml:space="preserve">   na dofinansowanie utrzymania dróg powiatowych</t>
  </si>
  <si>
    <t>1.wpływy z opłat za zarząd, użytkowanie i użytk.wieczyste</t>
  </si>
  <si>
    <t>2.dochody z najmu i dzierżawy skł.majątkowych Skarbu</t>
  </si>
  <si>
    <t>3.wpływy z tyt.przekształcenia prawa użytk. wieczyst.</t>
  </si>
  <si>
    <t xml:space="preserve">4.wpłaty z tyt.odpłatnego nabycia prawa własności </t>
  </si>
  <si>
    <t>5.wpływy z usług-wynajem lokali użytkowych</t>
  </si>
  <si>
    <t>9. wpływy z MTBS  tytułem zwrotu nakładów poniesionych przez</t>
  </si>
  <si>
    <t xml:space="preserve">   na ubezpieczenia społeczne</t>
  </si>
  <si>
    <t xml:space="preserve">   ubezpieczenie,koszty eksploat.lokali mieszk.nie zagospod.i inne)</t>
  </si>
  <si>
    <t xml:space="preserve">      7/materiały biurowe,wydawnictwa,druki i inne</t>
  </si>
  <si>
    <t xml:space="preserve">      9/pomoce naukowe</t>
  </si>
  <si>
    <t xml:space="preserve">      obsługi i administracji (11 et.)</t>
  </si>
  <si>
    <t xml:space="preserve">   f/wydatki rzeczowe</t>
  </si>
  <si>
    <t xml:space="preserve">     11/imprezy dla uczniów i zawody sportowe</t>
  </si>
  <si>
    <t xml:space="preserve">     12/monitoring pracowni internetowej</t>
  </si>
  <si>
    <t xml:space="preserve">     13/opłaty za telefony</t>
  </si>
  <si>
    <t>2/ dotacja dla Ligi Ochrony Przyrody w Szczecinie</t>
  </si>
  <si>
    <t>Podatek dochodowy od osób prawnych</t>
  </si>
  <si>
    <t>1.gospodarka gruntami i nieruchomościami</t>
  </si>
  <si>
    <t xml:space="preserve">   Gminę na przedsięwzięcie termomodernizacyjne wraz z odsetkami</t>
  </si>
  <si>
    <t>1. Dotacja na prowadzenie i aktualizację rejestu wyborców</t>
  </si>
  <si>
    <t>EKUKACYJNA OPIEKA WYCHOWAWCZA</t>
  </si>
  <si>
    <t xml:space="preserve">GOSPODARKA  KOMUNALNA  I  OCHRONA </t>
  </si>
  <si>
    <t>1.aktualizacja rejestru wyborców</t>
  </si>
  <si>
    <t xml:space="preserve">      kuchni ( 3etaty)</t>
  </si>
  <si>
    <t xml:space="preserve">   e/odpisy na zakł.fundusz świadczeń socjal.</t>
  </si>
  <si>
    <t xml:space="preserve">     15/prowizje bankowe</t>
  </si>
  <si>
    <t xml:space="preserve">   e/ zasiłki na zagospodarowanie nauczycieli</t>
  </si>
  <si>
    <t xml:space="preserve">      9/materiały biurowe,wydawnictwa,druki i inne</t>
  </si>
  <si>
    <t xml:space="preserve">     14/pomoce dydaktyczne</t>
  </si>
  <si>
    <t>3/ zakup energii elektrycznej i gazu</t>
  </si>
  <si>
    <t xml:space="preserve">    -odsetki z tyt.nieterminowej płatności podatków i składek ZUS</t>
  </si>
  <si>
    <t xml:space="preserve">   </t>
  </si>
  <si>
    <t xml:space="preserve">2.opracowania geodezyjne i kartograficzne </t>
  </si>
  <si>
    <t>2.utrzymanie Rady Miejskiej</t>
  </si>
  <si>
    <t>4.komisje poborowe</t>
  </si>
  <si>
    <t>3.utrzymanie  Urzędu Miejskiego</t>
  </si>
  <si>
    <t>5.dotacja na utrzymanie Związku Gmin Wyspy Wolin</t>
  </si>
  <si>
    <t xml:space="preserve">      8/zakup wyposażenia </t>
  </si>
  <si>
    <t>4.dokształcanie i doskonalenie nauczycieli</t>
  </si>
  <si>
    <t>5. odpisy na zakładowy fundusz świadczeń socjalnych</t>
  </si>
  <si>
    <t xml:space="preserve">1.utrzymanie czystości  </t>
  </si>
  <si>
    <t xml:space="preserve">2.utrzymanie zieleni </t>
  </si>
  <si>
    <t>4.oświetlenie ulic (energia)</t>
  </si>
  <si>
    <t xml:space="preserve"> </t>
  </si>
  <si>
    <t>1/ ustawowy odpis na rzecz GFOŚ i opłata produktowa</t>
  </si>
  <si>
    <t>3/ dotacja dla Fundacji na Rzecz Odzysku Opakowań Aluminiowych</t>
  </si>
  <si>
    <t xml:space="preserve">    Recal z siedzibą w Warszawie</t>
  </si>
  <si>
    <t>KULTUTA  FIZYCZNA  I  SPORT</t>
  </si>
  <si>
    <t>BEZPIECZEŃSTWO  PUBLICZNE  I OCHRONA</t>
  </si>
  <si>
    <t>PRZECIWPOŻAROWA</t>
  </si>
  <si>
    <t xml:space="preserve">        w Międzygminnych Związkach Zawodowych</t>
  </si>
  <si>
    <t xml:space="preserve">       Nauczycielstwa Polskiego w Kanmieniu Pom.</t>
  </si>
  <si>
    <t xml:space="preserve">     17/awarie,naprawy,nadzory i przeglądy</t>
  </si>
  <si>
    <t xml:space="preserve">     18/refundacja wynagr.pracownika zatrudnionego</t>
  </si>
  <si>
    <t xml:space="preserve">f/odpisy na zakładowy fundusz świadczeń </t>
  </si>
  <si>
    <t xml:space="preserve">     10/zakup wyposażenia klas i biur</t>
  </si>
  <si>
    <t>e/kotłownia przy ul.Piastowskiej 4</t>
  </si>
  <si>
    <t xml:space="preserve">   (sprzedaż netto-43.940,23 , spłata w ciągu 2 lat</t>
  </si>
  <si>
    <t>2. Wpływy z różnych dochodów (kary umowne)</t>
  </si>
  <si>
    <t>2.podatek od nieruchomości</t>
  </si>
  <si>
    <t xml:space="preserve">3.podatek rolny </t>
  </si>
  <si>
    <t xml:space="preserve">4. podatek leśny </t>
  </si>
  <si>
    <t>5. podatek od środków transportowych</t>
  </si>
  <si>
    <t>6.podatek od spadków i darowizn</t>
  </si>
  <si>
    <t>7.podatek od posiadania psów</t>
  </si>
  <si>
    <t>8.wpływy z opłaty targowej</t>
  </si>
  <si>
    <t>9. podatek od czynności cywilnoprawnych</t>
  </si>
  <si>
    <t>10.wpływy z różnych opłat (prolongacyjna i zwrot za upomnienia)</t>
  </si>
  <si>
    <t>11.odsetki od nieterminowych wpłat z tyt.podat. i opłat</t>
  </si>
  <si>
    <t>12.wpływy z opłaty skarbowej i odsetek</t>
  </si>
  <si>
    <t>13.wpływy z opłat za zezwolenia na sprzedaż alkoholu</t>
  </si>
  <si>
    <t>14.udziały gminy w podatku dochodowym od osób fizycznych</t>
  </si>
  <si>
    <t>15.udziały gminy w podatku dochodowym od osób prawnych</t>
  </si>
  <si>
    <t xml:space="preserve">    z czego przypada na:</t>
  </si>
  <si>
    <t xml:space="preserve">    szkoły podstawowe</t>
  </si>
  <si>
    <t xml:space="preserve">    gimnazjum</t>
  </si>
  <si>
    <t xml:space="preserve">   przedszkole</t>
  </si>
  <si>
    <t>5/ dotacja na wyprawkę dla klas I</t>
  </si>
  <si>
    <t xml:space="preserve">    przedszkole(opłata wynikająca z Uchwały Rady Miejskiej i inne)</t>
  </si>
  <si>
    <t>Dział 852</t>
  </si>
  <si>
    <t>POMOC SPOŁECZNA</t>
  </si>
  <si>
    <t>1.wpływy z udostępnienia placówek oświatowych na kolonie</t>
  </si>
  <si>
    <t>DZIAŁ 852</t>
  </si>
  <si>
    <t>POMOC  SPOŁECZNA</t>
  </si>
  <si>
    <t xml:space="preserve">     przedszkole</t>
  </si>
  <si>
    <t xml:space="preserve">     10/ SKS </t>
  </si>
  <si>
    <t xml:space="preserve">      5/zakup środków żywności</t>
  </si>
  <si>
    <t xml:space="preserve">      6/materiały biurowe,wydawnictwa i druki</t>
  </si>
  <si>
    <t xml:space="preserve">      8/zawody i imprezy dla dzieci</t>
  </si>
  <si>
    <t xml:space="preserve">      9/wiosenny bieg przełajowy</t>
  </si>
  <si>
    <t xml:space="preserve">      10/opłaty za telefony</t>
  </si>
  <si>
    <t xml:space="preserve">      12/prowizje bankowe</t>
  </si>
  <si>
    <t xml:space="preserve">   a/wynagrodzenia osobowe i składki ZUS pracowników</t>
  </si>
  <si>
    <t xml:space="preserve">   b/wydatki rzeczowe</t>
  </si>
  <si>
    <t xml:space="preserve">      z tego m.in.:</t>
  </si>
  <si>
    <t xml:space="preserve">      1/ zakup koksu</t>
  </si>
  <si>
    <t xml:space="preserve">      2/zakup naczyń kuchennych</t>
  </si>
  <si>
    <t xml:space="preserve">      4/materiały do konserwacji</t>
  </si>
  <si>
    <t xml:space="preserve">      7/energia i gaz</t>
  </si>
  <si>
    <t xml:space="preserve">  </t>
  </si>
  <si>
    <t xml:space="preserve">      8/ woda</t>
  </si>
  <si>
    <t xml:space="preserve">     10/prowizje bankowe</t>
  </si>
  <si>
    <t xml:space="preserve">     12/wyjazd dzieci do teatru</t>
  </si>
  <si>
    <t xml:space="preserve">       Nauczycielstwa Polskiego w Kamieniu Pom.</t>
  </si>
  <si>
    <t>2.składki na ubezpieczenia zdrowotne</t>
  </si>
  <si>
    <t>3.świadczenia społeczne -zadania zlecone</t>
  </si>
  <si>
    <t xml:space="preserve">4.świadczenia społeczne- zadania  własne </t>
  </si>
  <si>
    <t>2.koszty obsługi usług noclegowych w szkołach</t>
  </si>
  <si>
    <t>3/ wpływy z tyt.pozostałej sprzedaży (wykonanie</t>
  </si>
  <si>
    <t>4/ zakup usług: dezynsekcja,deratyzacja,ścieki,</t>
  </si>
  <si>
    <t xml:space="preserve">    usługi prawne,pocztowe,telefoniczne i inne</t>
  </si>
  <si>
    <t>Załącznik Nr  9 do Zarządzenia</t>
  </si>
  <si>
    <t>1.wymiana stolarki okiennej w budynku urzędu</t>
  </si>
  <si>
    <t xml:space="preserve">   od III.2004r., miesięczna rata 1830,-)</t>
  </si>
  <si>
    <t>1. Wpływy z opłat planistycznych i odsetki</t>
  </si>
  <si>
    <t>3. Wpływy z opłat adiacenckich</t>
  </si>
  <si>
    <t xml:space="preserve">      6/paliwo do kosiarki oraz gaz i energia do kuchni</t>
  </si>
  <si>
    <t xml:space="preserve">   Problemów Alkoholowych</t>
  </si>
  <si>
    <t>1.realizacja programu Gminnej Komisji Rozwiązywania</t>
  </si>
  <si>
    <t xml:space="preserve">   a/ świadczenia rodzinne</t>
  </si>
  <si>
    <t xml:space="preserve">6.konserwacja oświetlenia </t>
  </si>
  <si>
    <t>7.iluminacja świąteczna(demontaż i montaż) i inne prace</t>
  </si>
  <si>
    <t>4/dotacja z budżetu gminy na budowę stacji uzdatniania wody</t>
  </si>
  <si>
    <t>nadwyżka  budżetu wynosi</t>
  </si>
  <si>
    <t>1.Dotacja celowa ze Starostwa Powiatowego</t>
  </si>
  <si>
    <t>2.Opłaty za zajęcie pasa drogowego</t>
  </si>
  <si>
    <t xml:space="preserve">3.Wpływy z tyt.odsetek </t>
  </si>
  <si>
    <t xml:space="preserve">4.Wpływy z tyt.kar umownych </t>
  </si>
  <si>
    <t>5.Wpływy z tyt.odszkodowania z PZU - dot.Al.Gwiazd</t>
  </si>
  <si>
    <t>6.Wpływy z tyt.likwidacji środka specjalnego "DROGI"</t>
  </si>
  <si>
    <t xml:space="preserve">   1/ raty z tyt.sprzedaży gruntu</t>
  </si>
  <si>
    <t xml:space="preserve">  10/dz.nr330,pow.200,33m2-Ks.Pomorskich 19a</t>
  </si>
  <si>
    <t xml:space="preserve">   2/ dz.nr 380,pow.82,14m2-Ludowa 1/2</t>
  </si>
  <si>
    <t xml:space="preserve">   3/ dz.nr 186,pow.317,06m2-Kopernika 10/1</t>
  </si>
  <si>
    <t xml:space="preserve">   5/ dz.nr 101/2,pow.132m2-Gryfa Pom.</t>
  </si>
  <si>
    <t xml:space="preserve">   6/ dz.nr 408,pow.43m2-Tysiąclecia PP</t>
  </si>
  <si>
    <t xml:space="preserve">   7/ dz.nr 30,pow.134m2-Wczasowa</t>
  </si>
  <si>
    <t xml:space="preserve">   9/ dz.nr 285/16,pow.602m2-Nowomyśliwska</t>
  </si>
  <si>
    <t xml:space="preserve">  11/ dz.nr407 i 408,pow.51m2-Dąbrówki 13</t>
  </si>
  <si>
    <t>c/ rata za lokal użytkowy</t>
  </si>
  <si>
    <t xml:space="preserve">d/zwrot bonifikaty </t>
  </si>
  <si>
    <t>1.5% udział gminy z tyt.poboru opłat za wydanie dowodu osobistego</t>
  </si>
  <si>
    <t>2.dotacja na zad.zlecone z przeznaczeniem na finansow.</t>
  </si>
  <si>
    <t>3.opłata administracyjna</t>
  </si>
  <si>
    <t>4.sprzedaż kserokopiarki</t>
  </si>
  <si>
    <t>5.wpływy z różnych dochodów</t>
  </si>
  <si>
    <t xml:space="preserve">   transportu drogowego taksówką</t>
  </si>
  <si>
    <t>Dział 752</t>
  </si>
  <si>
    <t>OBRONA  NARODOWA</t>
  </si>
  <si>
    <t>Dochody stanowi dotacja na wydatki obronne</t>
  </si>
  <si>
    <t>Dochody stanowią wpływy z mandatów</t>
  </si>
  <si>
    <t xml:space="preserve">   b/subwencja wyrównawcza subwencji ogólnej</t>
  </si>
  <si>
    <t xml:space="preserve">   c/ różne rozliczenia finansowe </t>
  </si>
  <si>
    <t xml:space="preserve">Wpływy z realizacji sald SP ZOZ </t>
  </si>
  <si>
    <t>2.Dotacja z budżetu państwa na pomoc materialną dla uczniów</t>
  </si>
  <si>
    <t xml:space="preserve">Dochody stanowi odszkodowanie za zniszczone słupy </t>
  </si>
  <si>
    <t>oświetleniowe</t>
  </si>
  <si>
    <t>Dochody stanowi zwrot przez projektanta kosztów poniesionych</t>
  </si>
  <si>
    <t>przez Gminę w 2004r. na weryfikację dokumentacji stadionu.</t>
  </si>
  <si>
    <t>3.dopłaty do biletów z tyt.kosztów stosowania ulg</t>
  </si>
  <si>
    <t xml:space="preserve">   w przewozach pasażerskich</t>
  </si>
  <si>
    <t>4.utrzymanie nieruchomości gminnych (dozór"Złotego Dworu",</t>
  </si>
  <si>
    <t>5.zwrot wpłat dla lokatorów -ul.Góra Filaretów 1</t>
  </si>
  <si>
    <t>3.utrzymanie cmentarza w Lubinie</t>
  </si>
  <si>
    <t>6.dotacja dla Związku Miast i Gmin Morskich z przeznaczeniem</t>
  </si>
  <si>
    <t xml:space="preserve">    na opracowanie programu pn."Europejskie Centrum</t>
  </si>
  <si>
    <t xml:space="preserve">    Bioróżnorodności"</t>
  </si>
  <si>
    <t>7.wynagrodzenia z tyt.inkasa podatków i opłat lokalnych</t>
  </si>
  <si>
    <t>10.wynajem biura-Powiatowy Urząd Pracy</t>
  </si>
  <si>
    <t xml:space="preserve">1.dofinansowanie sił wsparcia w sezonie letnim 2005r. </t>
  </si>
  <si>
    <t xml:space="preserve">   dla Komendy Powiatowej Policji</t>
  </si>
  <si>
    <t xml:space="preserve">     11/ utrzymanie UKS "CHROBRY"</t>
  </si>
  <si>
    <t xml:space="preserve">     12/monitoring,usł.komputerowe i program komp.</t>
  </si>
  <si>
    <t xml:space="preserve">     14/przejazdy dzieci  na imprezy-chór</t>
  </si>
  <si>
    <t xml:space="preserve">     15/dopajanie dzieci</t>
  </si>
  <si>
    <t xml:space="preserve">     16/prowizje bankowe</t>
  </si>
  <si>
    <t xml:space="preserve">     17/refundacja wynagr.pracownika zatrudnionego</t>
  </si>
  <si>
    <t xml:space="preserve">      (10,5 etatu)</t>
  </si>
  <si>
    <t xml:space="preserve">      obsługi i administracji (4,50 etatu)</t>
  </si>
  <si>
    <t xml:space="preserve">      kuchni (1,75 et.)</t>
  </si>
  <si>
    <t>3/utrzymanie oddziału przedszkolnego w szkole nr 2</t>
  </si>
  <si>
    <t xml:space="preserve">   (wynagrodzenia,narzuty,fundusz socjalny oraz dod.wiejski </t>
  </si>
  <si>
    <t xml:space="preserve">    i mieszkaniowy -1 etat)</t>
  </si>
  <si>
    <t>4/utrzymanie przedszkola</t>
  </si>
  <si>
    <t xml:space="preserve">      9/konserwacja dźwigów i naprawa sprzętu</t>
  </si>
  <si>
    <t xml:space="preserve">      kuchni (2,75 etaty)</t>
  </si>
  <si>
    <t>5/ utrzymanie gimnazjum</t>
  </si>
  <si>
    <t>6/ dowożenie uczniów do szkół</t>
  </si>
  <si>
    <t>7/ dokształcanie i doskonalenie nauczycieli</t>
  </si>
  <si>
    <t>8/nagrody dla  uczniów</t>
  </si>
  <si>
    <t>9/wynagrodzenie ekspertów komisji egzaminacyjnej nauczycieli</t>
  </si>
  <si>
    <t>10/ odpisy na zakładowy fundusz świadczeń socjalnych</t>
  </si>
  <si>
    <t>11/ nagrody dla dyrektorów placówek oświatowych</t>
  </si>
  <si>
    <t>2.dokumentacja na remont dachu w budynku przychodni</t>
  </si>
  <si>
    <t>3.badanie klatki piersiowej</t>
  </si>
  <si>
    <t>5.świadczenia społeczne- zadania  własne -zas.okresowe</t>
  </si>
  <si>
    <t>6.opłaty za pobyt w domu pomocy społecznej</t>
  </si>
  <si>
    <t>3.pomoc materialna dla uczniów</t>
  </si>
  <si>
    <t>5.remont punktów oświetleniowych na promenadzie</t>
  </si>
  <si>
    <t xml:space="preserve">   między GRYF I i GRYF III</t>
  </si>
  <si>
    <t>1.utrzymanie sekcji piłki nożnej</t>
  </si>
  <si>
    <t>1.budowa sieci wodociągowej Wicko-Zalesie</t>
  </si>
  <si>
    <t>4.budowa targowiska miejskiego</t>
  </si>
  <si>
    <t>2.modernizacja centrali telefonicznej</t>
  </si>
  <si>
    <t xml:space="preserve">   udział Gminy</t>
  </si>
  <si>
    <t>1.zakup samochodu dla Państwowej Straży Pożarnej-</t>
  </si>
  <si>
    <t>1.wymiana okien w szkole nr 1</t>
  </si>
  <si>
    <t>2.wymiana okien w szkole nr 2</t>
  </si>
  <si>
    <t>Opis realizacji planów finansowych zakładów budżetowych i funduszu celowego.</t>
  </si>
  <si>
    <t>Stan środków obrotowych na początek 2005 r.</t>
  </si>
  <si>
    <t xml:space="preserve">    czyszczenie i naprawa wpustów ulicznych, </t>
  </si>
  <si>
    <t>7/ opracowanie projektu automatycznej stacji uzdatniania wody</t>
  </si>
  <si>
    <t xml:space="preserve">     dla miasta Międzyzdroje</t>
  </si>
  <si>
    <t xml:space="preserve">    pojemników,worków,soli, itp..</t>
  </si>
  <si>
    <t xml:space="preserve">Ujemny stan środków obrotowych na początek roku w kwocie  minus 13 237 zł uległ zwiększeniu do </t>
  </si>
  <si>
    <t xml:space="preserve">1/dotacja dla Związku Gmin Wyspy Wolin z przeznaczeniem na </t>
  </si>
  <si>
    <t xml:space="preserve">   opracowanie gminnego planu gospodarki odpadami</t>
  </si>
  <si>
    <t xml:space="preserve">   komputerowego i nagród</t>
  </si>
  <si>
    <t>6/ zakup sprzętu do bezpiecznego i humanitarnego poskramiania</t>
  </si>
  <si>
    <t xml:space="preserve">    oraz transportu zwierząt bezdomnych</t>
  </si>
  <si>
    <t>7/ opinie dotyczące drzewostanu</t>
  </si>
  <si>
    <t>8/urządzanie i utrzymanie terenów zielonych</t>
  </si>
  <si>
    <t>9/ inne zadania służące ochronie środowiska</t>
  </si>
  <si>
    <t>10/ obsługa rachunku bankowego</t>
  </si>
  <si>
    <t>7.dodatki mieszkaniowe</t>
  </si>
  <si>
    <t>8.utrzymanie Ośrodka Pomocy Społecznej</t>
  </si>
  <si>
    <t xml:space="preserve">9.utrzymanie opiekunek </t>
  </si>
  <si>
    <t>10.posiłek dla potrzebujących</t>
  </si>
  <si>
    <t>Nr 35/FIN/06  Burmistrza Międzyzdrojów</t>
  </si>
  <si>
    <t>z dnia 10 marca 2006r.</t>
  </si>
  <si>
    <t>Omówienie  wykonania budżetu Gminy za 2005r. ( w złotych )</t>
  </si>
  <si>
    <t>4.sieć sanitarna w ul.Kolonijnej w Wicku</t>
  </si>
  <si>
    <t>2.dokument. techn i budowa kanalizacji sanitarnej w  ul.Kolonijnej</t>
  </si>
  <si>
    <t>5.dotacja dla ZGWW z przeznaczeniem na realizację zadania</t>
  </si>
  <si>
    <t xml:space="preserve">   pn."Inwentaryzacja i wykonanie dokumentacji powykonawczej</t>
  </si>
  <si>
    <t xml:space="preserve">   sieci kanalizacyjnej w sołectwach Gminy Międzyzdroje"</t>
  </si>
  <si>
    <t>3.dokument.techn.i budowa kanalizacji sanitarnej w ul.Łagodnej</t>
  </si>
  <si>
    <t xml:space="preserve">    oraz wodno-kanalizacyjnej w ul.Słonecznej</t>
  </si>
  <si>
    <t>2.ul.Mickiewicza i Rybacka - dokumentacja</t>
  </si>
  <si>
    <t xml:space="preserve">3.budowa kablowej sieci oświetlenia ulicznego w ul.Turkusowej </t>
  </si>
  <si>
    <t xml:space="preserve">   i Głównej</t>
  </si>
  <si>
    <t>GOSPODARKA MIESZKANIOWA</t>
  </si>
  <si>
    <t>1.opracowanie dokumentacji budynku mieszkalnego</t>
  </si>
  <si>
    <t>2.budowa wewnętrznej instalacji centralnego  ogrzewania</t>
  </si>
  <si>
    <t xml:space="preserve">   w budynku mieszkalnym przy ul.Głównej 14m2 w Lubinie</t>
  </si>
  <si>
    <t>3.wkłąd Gminy Międzyzdroje w kapitale zakładowym spółki</t>
  </si>
  <si>
    <t xml:space="preserve">   Zarząd Przystani Morskiej w Międzyzdrojach Sp. Z o.o.</t>
  </si>
  <si>
    <t xml:space="preserve">   zakup i uruchomienie sieci bezprzewodowej radiowej oraz zakup</t>
  </si>
  <si>
    <t xml:space="preserve">   sprzętu niezbędnego do prawidłowego funkcjonowania systemu e-urząd</t>
  </si>
  <si>
    <t xml:space="preserve">   z prawami dostępu do systemu e-urząd </t>
  </si>
  <si>
    <t>3.zakup kserokopiarki</t>
  </si>
  <si>
    <t>4.wdrożenie elektronicznego systemu obiegu dokumentów (e-urząd)-</t>
  </si>
  <si>
    <t>3.zakup komputera -szkoła nr 1</t>
  </si>
  <si>
    <t>4.wymiana drzwi wejściowych w budynku gimnazjum</t>
  </si>
  <si>
    <t xml:space="preserve">5.kotłownia w szkole nr 1- zmiana paliwa opałowego </t>
  </si>
  <si>
    <t>6.opracowanie dokumentacji na ocieplenie i kotłownię</t>
  </si>
  <si>
    <t>w przedszkolu</t>
  </si>
  <si>
    <t>1.przystosowanie auli w szkole nr 1 do zajęć sportowych</t>
  </si>
  <si>
    <t>2.zakup komputera</t>
  </si>
  <si>
    <t xml:space="preserve">1.zakup kserokopiarki </t>
  </si>
  <si>
    <t>2.zakup 2 komputerów i oprogramowania</t>
  </si>
  <si>
    <t>1.oświetlenie ul.Kolejowej</t>
  </si>
  <si>
    <t>4.budowa oświetlenia  w ul.Turystycznej,Usługowej i Pl.Neptuna</t>
  </si>
  <si>
    <t>5.opracowanie dokumentacji-skrzynka energetyczna-promocja</t>
  </si>
  <si>
    <t>6.dotacja dla ZWiK -stacja uzdatniania wody</t>
  </si>
  <si>
    <t>7.opracowanie projektu rekultywacji składowiska odpadów</t>
  </si>
  <si>
    <t>8.budowa sieci kanalizacyjnej sanitarnej w Al.Róż i Myśliwskiej</t>
  </si>
  <si>
    <t>9.budowa sieci wodno-kanalizacyjnej w ul.Wodziczki</t>
  </si>
  <si>
    <t>10.dotacja dla Gminy Golczewo-partycypacja w kosztach</t>
  </si>
  <si>
    <t xml:space="preserve">11.wspólna realizacja zadania"Przebudowa drogi nr 102 </t>
  </si>
  <si>
    <t>12.rezerwa celowa przeznaczona na przygotowanie</t>
  </si>
  <si>
    <t>1.Aleja Gwiazd</t>
  </si>
  <si>
    <t>modernizacja stadionu miejskiego w Międzyzdrojach-</t>
  </si>
  <si>
    <t xml:space="preserve">zakup pierwszego wyposażenia (229 878zł) i okablowanie </t>
  </si>
  <si>
    <t>stadionu ( 3 499 zł)</t>
  </si>
  <si>
    <t xml:space="preserve">Dochody Gminy za  2005r. wyniosły </t>
  </si>
  <si>
    <t>(113,79 % kwoty założonej w planie wg uchwał Rady Miejskiej),</t>
  </si>
  <si>
    <t>(76,86 % kwoty założonej w planie wg uchwał Rady Miejskiej),</t>
  </si>
  <si>
    <t>Finansowanie prezentuje poniższe zestawienie:</t>
  </si>
  <si>
    <t xml:space="preserve">Wolne środki na rachunku Gminy na dzień 31.12.2005r.wynoszą </t>
  </si>
  <si>
    <t>zł.</t>
  </si>
  <si>
    <t xml:space="preserve">  13/ dz.160,161,100/4,pow.2267m2-Geodezyjna 17</t>
  </si>
  <si>
    <t xml:space="preserve">  17/ dz.nr 137/1,pow.7,2557ha-" była kredownia"</t>
  </si>
  <si>
    <t xml:space="preserve">   4/ udziały w dz nr 594,pow.560,49m2-Góra Filaretów 1</t>
  </si>
  <si>
    <t xml:space="preserve">  14/ udziały w dz.320,pow.141,84m2-Tysiąclecia PP 11a</t>
  </si>
  <si>
    <t xml:space="preserve">   tj. 11 komputerów,2 serwerów, drukarki, scanera oraz etokenów </t>
  </si>
  <si>
    <t xml:space="preserve">8.różne dochody (przepadek wadium -28 040 zł , zwrot kosztów </t>
  </si>
  <si>
    <t xml:space="preserve">  związanych ze sprzedażą  nieruchomości - 11 836 zł,</t>
  </si>
  <si>
    <t xml:space="preserve">   odszkodowanie od Skarbu Państwa za dz.nr 496/3 - 12 855zł)</t>
  </si>
  <si>
    <t>10.kary umowne  ( wymiana okien-ul.Skłodowskiej)</t>
  </si>
  <si>
    <t>4.Odsetki</t>
  </si>
  <si>
    <t>6.wpływy z tyt sprzedaży SIWZ</t>
  </si>
  <si>
    <t>7.opłata za udzielenie licencji na wykonywanie  krajowego</t>
  </si>
  <si>
    <t>8.wpływy ze sprzedaży ciepła dla BGŻ</t>
  </si>
  <si>
    <t>9.odsetki od środków na rachunkach bankowych</t>
  </si>
  <si>
    <t xml:space="preserve">10.kary umowne z tyt.nieterminowego rozliczenia dotacji </t>
  </si>
  <si>
    <t>2. Dotacja na wybory Prezydenta RP</t>
  </si>
  <si>
    <t>3. Dotacja na wybory do Sejmu i Senatu</t>
  </si>
  <si>
    <t xml:space="preserve">6/ nagroda dla chóru ( 3600 zł ) i inne </t>
  </si>
  <si>
    <t>7/dotacja z budżetu państwa z przeznaczeniem na dofinansowanie</t>
  </si>
  <si>
    <t xml:space="preserve">1.dotacja na świadczenia rodzinne,zaliczki alimentacyjne oraz </t>
  </si>
  <si>
    <t xml:space="preserve">   składki na ubezpieczenia społeczne</t>
  </si>
  <si>
    <t>2.dotacja na dofinansowanie zakupu kserokopiarki</t>
  </si>
  <si>
    <t>3.dotacja na składki na ubezpieczenia zdrowotne</t>
  </si>
  <si>
    <t xml:space="preserve">4.dotacja na zasiłki i pomoc w naturze oraz na składki </t>
  </si>
  <si>
    <t>5.dotacja na zadania własne-zasiłki okresowe</t>
  </si>
  <si>
    <t>6.dotacja na utrzymanie  Ośrodka Pomocy Społecznej-zad.własne</t>
  </si>
  <si>
    <t>7.wpływy z usług opiekuńczych</t>
  </si>
  <si>
    <t>8.dotacja na posiłek dla potrzebujących</t>
  </si>
  <si>
    <t>9.wpływy z różnych dochodów</t>
  </si>
  <si>
    <t>KULTURA I OCHRONA DZIEDZICTWA NARODOWEGO</t>
  </si>
  <si>
    <t>Dochody stanowi dotacja z budżetu państwa z przeznaczeniem</t>
  </si>
  <si>
    <t>na zakup nowości wydawniczych dla biblioteki</t>
  </si>
  <si>
    <t>oraz kary umowne wynikające z dostawy wyposażenia stadionu</t>
  </si>
  <si>
    <t>2.częściowa  wymiana  okien i drzwi wejściowych w budynku</t>
  </si>
  <si>
    <t xml:space="preserve">   przy ul.Skłodowskiej 14a,14b,14c  oraz remont lokalu </t>
  </si>
  <si>
    <t xml:space="preserve">   mieszkalnego 14a/3</t>
  </si>
  <si>
    <t>3.rozbiórki budynków (rozebrano budynek przy ul.Skłodowskiej,</t>
  </si>
  <si>
    <t xml:space="preserve">   Polnej 44, Norwida 13 oraz bud.gosp.przy Promenadzie Gwiazd)</t>
  </si>
  <si>
    <t>6.zwrot nakładów za stolarkę okienną -ul.Góra Filaretów 1</t>
  </si>
  <si>
    <t>2.wybory Prezydenta RP - 09.10.2005 i 23.10.2005r.</t>
  </si>
  <si>
    <t>3.wybory do Sejmu i Senatu - 25.09.2005r.</t>
  </si>
  <si>
    <t>5.referendum lokalne 24.04.2005r.</t>
  </si>
  <si>
    <t>4.wybory uzupełniające do Rady Miejskiej - 22.05.2005r.</t>
  </si>
  <si>
    <t>rezerwa ogólna</t>
  </si>
  <si>
    <t xml:space="preserve">      (30,88 et.)</t>
  </si>
  <si>
    <t xml:space="preserve">      obsługi i administracji (13,63 etatów)</t>
  </si>
  <si>
    <t xml:space="preserve">     18/wymiana podłóg w 4 klasach,wymiana balustrady,</t>
  </si>
  <si>
    <t xml:space="preserve">         montaż rolet i inne</t>
  </si>
  <si>
    <t xml:space="preserve">      11/opłata za internet</t>
  </si>
  <si>
    <t xml:space="preserve">      13/przeniesienie pracowni komputerowej</t>
  </si>
  <si>
    <t xml:space="preserve">     (10,75 etatu nauczycieli i 13,75 etatu prac.obsługi)</t>
  </si>
  <si>
    <t xml:space="preserve">      3/materiały biurowe i środki czystości</t>
  </si>
  <si>
    <t xml:space="preserve">      6/zakup książek i zabawek</t>
  </si>
  <si>
    <t xml:space="preserve">     13/remont magazynu, łazienek i schodów</t>
  </si>
  <si>
    <t xml:space="preserve">     11/usługi telefoniczne </t>
  </si>
  <si>
    <t xml:space="preserve">     14/zakup wykładziny i mebli biurowych</t>
  </si>
  <si>
    <t xml:space="preserve">      (31,5 et.)</t>
  </si>
  <si>
    <t xml:space="preserve">   d/wynagrodzenie trenerów GIMSPORT-u</t>
  </si>
  <si>
    <t xml:space="preserve">      i składki ZUS</t>
  </si>
  <si>
    <t xml:space="preserve">      7/remonty klas,korytarzy,klatek schodowych</t>
  </si>
  <si>
    <t xml:space="preserve">     16/UKS"GIMSPORT"(przejazdy na zawody,</t>
  </si>
  <si>
    <t xml:space="preserve">         zimowiska i zgrupowania sportowe oraz inne)</t>
  </si>
  <si>
    <t xml:space="preserve">         i toalet chłopców oraz wykonanie kabin sanit.</t>
  </si>
  <si>
    <t xml:space="preserve">     19/instalacja sieci monitoringu wewnętrznego</t>
  </si>
  <si>
    <t xml:space="preserve">         i usługi serwisowe</t>
  </si>
  <si>
    <t xml:space="preserve">     20/dzierżawa kserokopiarki</t>
  </si>
  <si>
    <t xml:space="preserve">   ubezpiecz.emerytalne i rentowe z ubezpieczenia społecznego</t>
  </si>
  <si>
    <t xml:space="preserve">1.świadczenia rodzinne,zaliczki alimentacyjne oraz składki na </t>
  </si>
  <si>
    <t xml:space="preserve">   b/ świadczenia opiekuńcze</t>
  </si>
  <si>
    <t xml:space="preserve">   c/ zaliczki alimentacyjne</t>
  </si>
  <si>
    <t xml:space="preserve">        wynagrodz.i narzuty pracownika oraz inne koszty</t>
  </si>
  <si>
    <t xml:space="preserve">       (w tym: sfinansowane z bud.państwa-28 482 zł,tj.50,6%)</t>
  </si>
  <si>
    <t>3.zakup opraw oświetleniowych i oświetlenia świątecznego</t>
  </si>
  <si>
    <t>8.wyrok sądu-zapłata za konserwację oświetlenia I.2004r.</t>
  </si>
  <si>
    <t>9.dotacja przedmiotowa dla Zakładu Ochrony Środowiska</t>
  </si>
  <si>
    <t>10.dotacja przedmiotowa dla Zakładu Ochrony Środowiska</t>
  </si>
  <si>
    <t xml:space="preserve">    z przeznaczeniem na dofinans.utrzymania kąpieliska</t>
  </si>
  <si>
    <t xml:space="preserve">   z przeznaczeniem na dofinans.utrzymania stadionu</t>
  </si>
  <si>
    <t>11.monitoring składowiska odpadów</t>
  </si>
  <si>
    <t>12.nadzór autorski-przbudowa drogi 102</t>
  </si>
  <si>
    <t>13.opieka nad bezdomnymi psami</t>
  </si>
  <si>
    <t xml:space="preserve">    sieci wodociągowych i kanalizacyjnych, sprzedaż</t>
  </si>
  <si>
    <t xml:space="preserve">    materiałów, usługi świadczone samochodem WUKO,</t>
  </si>
  <si>
    <t xml:space="preserve">    wymiana wodomierzy  i inne)</t>
  </si>
  <si>
    <t>8/ zakup przycisku do rur</t>
  </si>
  <si>
    <t>Stan środków obrotowych na  31.12.2005r.  wyniósł</t>
  </si>
  <si>
    <t xml:space="preserve">Zakład Wodociągów i Kanalizacji w  2005r. nie wypracował nadwyżki środków obrotowych. </t>
  </si>
  <si>
    <t>do kwoty minus 61 603 zł.</t>
  </si>
  <si>
    <t>1/ wynagrodzenia i składki ZUS 37 pracowników</t>
  </si>
  <si>
    <t>5/ obsługa kąpieliska</t>
  </si>
  <si>
    <t>6/ odkomarzanie</t>
  </si>
  <si>
    <t>7/ raty leasingowe- samochód MERCEDES</t>
  </si>
  <si>
    <t>8/ wywóz odpadów komunalnych na wysypisko</t>
  </si>
  <si>
    <t>9/ fundusz eksploatacyjno-remontowy -molo</t>
  </si>
  <si>
    <t>10/monitoring i ochrona obiektów</t>
  </si>
  <si>
    <t>11/opłaty za szczególne korzystanie z wód i środowiska</t>
  </si>
  <si>
    <t>12/wynajem maszyny do zamiatania</t>
  </si>
  <si>
    <t>13/ podatek od nieruchomości</t>
  </si>
  <si>
    <t>14/ podatek VAT</t>
  </si>
  <si>
    <t>15/ odpis na ZFŚS</t>
  </si>
  <si>
    <t>16/ubezpieczenie majątku</t>
  </si>
  <si>
    <t>17/opłata z tytułu trwałego zarządu</t>
  </si>
  <si>
    <t>Stan środków obrotowych na 31.12.2005 r. wyniósł</t>
  </si>
  <si>
    <t>Zakład Ochrony Środowiska w  2005r. nie wypracował nadwyżki środków obrotowych. Ujemny stan</t>
  </si>
  <si>
    <t>środków obrotowych na początek roku z kwoty minus 205 106zł uległ zmniejszeniu  do kwoty minus 168 008 zł.</t>
  </si>
  <si>
    <t xml:space="preserve">4/zakup pojemników do selektywnej zbiórki odpadów,programu </t>
  </si>
  <si>
    <t>Stan środków obrotowych na  31.12.2005 r. wyniósł</t>
  </si>
  <si>
    <t xml:space="preserve">  e/wydatki rzeczowe</t>
  </si>
  <si>
    <t xml:space="preserve">       7/wyposażenie pomieszczeń i wymiana wykładziny</t>
  </si>
  <si>
    <t>2/ dzierżawa terenu na cmentarzu</t>
  </si>
  <si>
    <t>3/ dzierżawa plaży</t>
  </si>
  <si>
    <t>4/ wpływy z najmu i dzierżawy majątku gminnego</t>
  </si>
  <si>
    <t>5/ wpływy z usług na stadionie miejskim</t>
  </si>
  <si>
    <t>6/ sprzedaż usług pogrzebowych</t>
  </si>
  <si>
    <t>7/ dotacja na utrzymanie stadionu miejskiego</t>
  </si>
  <si>
    <t>8/ dotacja na dofinansowanie utrzymania kąpieliska strzeżonego</t>
  </si>
  <si>
    <t>9/ inne przychody</t>
  </si>
  <si>
    <t xml:space="preserve">    nieczystości ,utrzymanie zieleni miejskiej ,</t>
  </si>
  <si>
    <t>4. Dotacja na wybory uzupełniające do Rady Miejskiej</t>
  </si>
  <si>
    <t xml:space="preserve">   kosztów związanych z awansem zawodowym nauczycieli</t>
  </si>
  <si>
    <t>7.opłata za użytkowanie dna morskiego</t>
  </si>
  <si>
    <t xml:space="preserve"> 9.utrzymanie kotłowni w budynku Urzędu Miejskiego</t>
  </si>
  <si>
    <t xml:space="preserve"> 8.składki na rzecz związków celowych, w tym:</t>
  </si>
  <si>
    <t xml:space="preserve">   Związek Miast Polskich</t>
  </si>
  <si>
    <t xml:space="preserve">   Związek Miast Bałtyckich</t>
  </si>
  <si>
    <t xml:space="preserve">   Stowarzyszenie Gmin Polskich Euroregionu POMERANIA</t>
  </si>
  <si>
    <t xml:space="preserve">   Związek Miast i Gmin Morskich</t>
  </si>
  <si>
    <t>2.utrzymanie Ochotniczej Straży Pożarnej</t>
  </si>
  <si>
    <t>3.obrona cywilna</t>
  </si>
  <si>
    <t>4.utrzymanie Straży Miejskiej</t>
  </si>
  <si>
    <t xml:space="preserve">      21/szkolenia nauczycieli i pracowników administracji</t>
  </si>
  <si>
    <t xml:space="preserve">    d/ składki na ubezpieczenia społeczne od świadczeń </t>
  </si>
  <si>
    <t xml:space="preserve">   e/ koszty obsługi świadczeń rodzinnych-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</si>
</sst>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9" fontId="7" fillId="0" borderId="0" xfId="0" applyNumberFormat="1" applyFont="1" applyAlignment="1">
      <alignment/>
    </xf>
    <xf numFmtId="9" fontId="0" fillId="0" borderId="0" xfId="0" applyNumberFormat="1" applyFont="1" applyAlignment="1">
      <alignment horizontal="right"/>
    </xf>
    <xf numFmtId="9" fontId="9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9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centerContinuous"/>
    </xf>
    <xf numFmtId="9" fontId="2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9" fontId="0" fillId="0" borderId="0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9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9" fontId="10" fillId="0" borderId="0" xfId="0" applyNumberFormat="1" applyFont="1" applyBorder="1" applyAlignment="1">
      <alignment/>
    </xf>
    <xf numFmtId="9" fontId="1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9" fontId="10" fillId="0" borderId="0" xfId="0" applyNumberFormat="1" applyFont="1" applyAlignment="1">
      <alignment/>
    </xf>
    <xf numFmtId="9" fontId="12" fillId="0" borderId="1" xfId="0" applyNumberFormat="1" applyFont="1" applyBorder="1" applyAlignment="1">
      <alignment/>
    </xf>
    <xf numFmtId="9" fontId="12" fillId="0" borderId="0" xfId="0" applyNumberFormat="1" applyFont="1" applyBorder="1" applyAlignment="1">
      <alignment/>
    </xf>
    <xf numFmtId="9" fontId="13" fillId="0" borderId="0" xfId="0" applyNumberFormat="1" applyFont="1" applyBorder="1" applyAlignment="1">
      <alignment/>
    </xf>
    <xf numFmtId="9" fontId="10" fillId="0" borderId="0" xfId="0" applyNumberFormat="1" applyFont="1" applyAlignment="1">
      <alignment horizontal="centerContinuous"/>
    </xf>
    <xf numFmtId="9" fontId="10" fillId="0" borderId="0" xfId="0" applyNumberFormat="1" applyFont="1" applyAlignment="1">
      <alignment horizontal="center"/>
    </xf>
    <xf numFmtId="9" fontId="1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1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9.625" style="0" customWidth="1"/>
    <col min="2" max="2" width="13.75390625" style="0" customWidth="1"/>
    <col min="3" max="3" width="14.125" style="0" customWidth="1"/>
    <col min="4" max="4" width="16.25390625" style="6" customWidth="1"/>
    <col min="5" max="5" width="11.375" style="0" customWidth="1"/>
    <col min="6" max="6" width="12.75390625" style="6" customWidth="1"/>
    <col min="7" max="7" width="12.25390625" style="6" customWidth="1"/>
    <col min="8" max="8" width="7.25390625" style="42" customWidth="1"/>
    <col min="9" max="9" width="4.75390625" style="63" customWidth="1"/>
    <col min="10" max="10" width="15.125" style="0" customWidth="1"/>
  </cols>
  <sheetData>
    <row r="1" spans="1:9" ht="15">
      <c r="A1" s="17"/>
      <c r="B1" s="18"/>
      <c r="C1" s="18"/>
      <c r="D1" s="19"/>
      <c r="E1" s="31" t="s">
        <v>290</v>
      </c>
      <c r="F1" s="19"/>
      <c r="G1" s="19"/>
      <c r="H1" s="43"/>
      <c r="I1" s="67"/>
    </row>
    <row r="2" spans="1:9" ht="15">
      <c r="A2" s="17"/>
      <c r="B2" s="18"/>
      <c r="C2" s="18"/>
      <c r="D2" s="19"/>
      <c r="E2" s="31" t="s">
        <v>407</v>
      </c>
      <c r="F2" s="19"/>
      <c r="G2" s="19"/>
      <c r="H2" s="43"/>
      <c r="I2" s="67"/>
    </row>
    <row r="3" spans="1:9" ht="15">
      <c r="A3" s="17"/>
      <c r="B3" s="18"/>
      <c r="C3" s="18"/>
      <c r="D3" s="19"/>
      <c r="E3" s="31" t="s">
        <v>408</v>
      </c>
      <c r="F3" s="19"/>
      <c r="G3" s="19"/>
      <c r="H3" s="43"/>
      <c r="I3" s="67"/>
    </row>
    <row r="4" spans="1:9" ht="15">
      <c r="A4" s="17"/>
      <c r="B4" s="18"/>
      <c r="C4" s="18"/>
      <c r="D4" s="19"/>
      <c r="E4" s="31"/>
      <c r="F4" s="19"/>
      <c r="G4" s="19"/>
      <c r="H4" s="43"/>
      <c r="I4" s="67"/>
    </row>
    <row r="5" spans="1:9" ht="15">
      <c r="A5" s="62" t="s">
        <v>409</v>
      </c>
      <c r="B5" s="18"/>
      <c r="C5" s="18"/>
      <c r="D5" s="19"/>
      <c r="E5" s="31"/>
      <c r="F5" s="19"/>
      <c r="G5" s="19"/>
      <c r="H5" s="43"/>
      <c r="I5" s="67"/>
    </row>
    <row r="6" ht="12.75">
      <c r="E6" s="6"/>
    </row>
    <row r="7" spans="1:9" s="32" customFormat="1" ht="15">
      <c r="A7" s="32" t="s">
        <v>454</v>
      </c>
      <c r="D7" s="33"/>
      <c r="E7" s="57">
        <v>20347045</v>
      </c>
      <c r="F7" s="33"/>
      <c r="G7" s="33"/>
      <c r="H7" s="36"/>
      <c r="I7" s="63"/>
    </row>
    <row r="8" spans="1:5" ht="12.75">
      <c r="A8" t="s">
        <v>455</v>
      </c>
      <c r="E8" s="6"/>
    </row>
    <row r="9" spans="1:9" s="32" customFormat="1" ht="15">
      <c r="A9" s="32" t="s">
        <v>106</v>
      </c>
      <c r="D9" s="33"/>
      <c r="E9" s="57">
        <v>16827219</v>
      </c>
      <c r="F9" s="33"/>
      <c r="G9" s="33"/>
      <c r="H9" s="36"/>
      <c r="I9" s="63"/>
    </row>
    <row r="10" spans="1:5" ht="12.75">
      <c r="A10" t="s">
        <v>456</v>
      </c>
      <c r="E10" s="6"/>
    </row>
    <row r="11" spans="1:9" s="32" customFormat="1" ht="15">
      <c r="A11" s="32" t="s">
        <v>302</v>
      </c>
      <c r="D11" s="33"/>
      <c r="E11" s="57">
        <f>E7-E9</f>
        <v>3519826</v>
      </c>
      <c r="F11" s="33"/>
      <c r="G11" s="33"/>
      <c r="H11" s="36"/>
      <c r="I11" s="63"/>
    </row>
    <row r="12" spans="1:9" s="32" customFormat="1" ht="14.25">
      <c r="A12" s="32" t="s">
        <v>457</v>
      </c>
      <c r="D12" s="33"/>
      <c r="E12" s="33"/>
      <c r="F12" s="33"/>
      <c r="G12" s="33"/>
      <c r="H12" s="36"/>
      <c r="I12" s="63"/>
    </row>
    <row r="13" spans="1:5" ht="12.75">
      <c r="A13" t="s">
        <v>115</v>
      </c>
      <c r="E13" s="6"/>
    </row>
    <row r="14" spans="1:5" ht="12.75">
      <c r="A14" t="s">
        <v>111</v>
      </c>
      <c r="D14" s="52" t="s">
        <v>108</v>
      </c>
      <c r="E14" s="52" t="s">
        <v>109</v>
      </c>
    </row>
    <row r="15" spans="1:5" ht="12.75">
      <c r="A15" t="s">
        <v>159</v>
      </c>
      <c r="D15" s="6">
        <v>2128775</v>
      </c>
      <c r="E15" s="6">
        <v>422536</v>
      </c>
    </row>
    <row r="16" spans="1:5" ht="12.75">
      <c r="A16" t="s">
        <v>112</v>
      </c>
      <c r="D16" s="6">
        <v>0</v>
      </c>
      <c r="E16" s="6">
        <v>60000</v>
      </c>
    </row>
    <row r="17" spans="1:5" ht="12.75">
      <c r="A17" t="s">
        <v>113</v>
      </c>
      <c r="D17" s="6">
        <v>2955934</v>
      </c>
      <c r="E17" s="6">
        <v>2955935</v>
      </c>
    </row>
    <row r="18" spans="1:5" ht="12.75">
      <c r="A18" t="s">
        <v>114</v>
      </c>
      <c r="C18" s="35"/>
      <c r="D18" s="34">
        <v>0</v>
      </c>
      <c r="E18" s="34">
        <v>0</v>
      </c>
    </row>
    <row r="19" spans="3:5" ht="12.75">
      <c r="C19" t="s">
        <v>116</v>
      </c>
      <c r="D19" s="6">
        <f>SUM(D15:D18)</f>
        <v>5084709</v>
      </c>
      <c r="E19" s="6">
        <f>SUM(E15:E18)</f>
        <v>3438471</v>
      </c>
    </row>
    <row r="20" ht="12.75">
      <c r="E20" s="6"/>
    </row>
    <row r="21" spans="1:5" ht="12.75">
      <c r="A21" t="s">
        <v>117</v>
      </c>
      <c r="E21" s="6"/>
    </row>
    <row r="22" spans="1:5" ht="12.75">
      <c r="A22" t="s">
        <v>111</v>
      </c>
      <c r="E22" s="6"/>
    </row>
    <row r="23" spans="1:5" ht="12.75">
      <c r="A23" t="s">
        <v>176</v>
      </c>
      <c r="D23" s="6">
        <v>1072685</v>
      </c>
      <c r="E23" s="6">
        <v>1072685</v>
      </c>
    </row>
    <row r="24" spans="1:5" ht="12.75">
      <c r="A24" t="s">
        <v>177</v>
      </c>
      <c r="C24" s="35"/>
      <c r="D24" s="34">
        <v>0</v>
      </c>
      <c r="E24" s="34">
        <v>60000</v>
      </c>
    </row>
    <row r="25" spans="3:5" ht="12.75">
      <c r="C25" t="s">
        <v>116</v>
      </c>
      <c r="D25" s="6">
        <f>SUM(D23:D24)</f>
        <v>1072685</v>
      </c>
      <c r="E25" s="6">
        <f>SUM(E23:E24)</f>
        <v>1132685</v>
      </c>
    </row>
    <row r="27" spans="1:5" ht="12.75">
      <c r="A27" t="s">
        <v>118</v>
      </c>
      <c r="D27" s="6">
        <f>D19-D25</f>
        <v>4012024</v>
      </c>
      <c r="E27" s="6">
        <f>E19-E25</f>
        <v>2305786</v>
      </c>
    </row>
    <row r="28" spans="4:9" s="32" customFormat="1" ht="14.25">
      <c r="D28" s="33"/>
      <c r="E28" s="33"/>
      <c r="F28" s="33"/>
      <c r="G28" s="33"/>
      <c r="H28" s="36"/>
      <c r="I28" s="63"/>
    </row>
    <row r="29" spans="1:6" ht="12.75">
      <c r="A29" t="s">
        <v>458</v>
      </c>
      <c r="E29" s="6">
        <f>E11+E27</f>
        <v>5825612</v>
      </c>
      <c r="F29" s="6" t="s">
        <v>459</v>
      </c>
    </row>
    <row r="30" ht="12.75">
      <c r="E30" s="6"/>
    </row>
    <row r="31" ht="12.75">
      <c r="E31" s="6"/>
    </row>
    <row r="32" ht="12.75">
      <c r="E32" s="6"/>
    </row>
    <row r="33" spans="1:9" ht="14.25">
      <c r="A33" s="2" t="s">
        <v>10</v>
      </c>
      <c r="F33" s="52" t="s">
        <v>108</v>
      </c>
      <c r="G33" s="52" t="s">
        <v>109</v>
      </c>
      <c r="H33" s="58" t="s">
        <v>107</v>
      </c>
      <c r="I33" s="68" t="s">
        <v>110</v>
      </c>
    </row>
    <row r="34" ht="14.25">
      <c r="A34" s="2"/>
    </row>
    <row r="35" spans="1:9" s="21" customFormat="1" ht="12.75">
      <c r="A35" s="21" t="s">
        <v>63</v>
      </c>
      <c r="B35" s="21" t="s">
        <v>64</v>
      </c>
      <c r="D35" s="22"/>
      <c r="F35" s="22">
        <f>SUM(F37:F42)</f>
        <v>201832</v>
      </c>
      <c r="G35" s="22">
        <f>SUM(G37:G42)</f>
        <v>231179</v>
      </c>
      <c r="H35" s="45">
        <f>G35/F35</f>
        <v>1.1454031075349795</v>
      </c>
      <c r="I35" s="61">
        <f>G35/G$229</f>
        <v>0.011361797253606113</v>
      </c>
    </row>
    <row r="36" spans="2:9" s="3" customFormat="1" ht="12.75">
      <c r="B36" s="8" t="s">
        <v>303</v>
      </c>
      <c r="D36" s="10"/>
      <c r="F36" s="13"/>
      <c r="G36" s="13"/>
      <c r="H36" s="42"/>
      <c r="I36" s="63"/>
    </row>
    <row r="37" spans="2:9" s="3" customFormat="1" ht="12.75">
      <c r="B37" s="8" t="s">
        <v>178</v>
      </c>
      <c r="D37" s="10"/>
      <c r="F37" s="13">
        <v>28200</v>
      </c>
      <c r="G37" s="13">
        <v>28200</v>
      </c>
      <c r="H37" s="42">
        <f aca="true" t="shared" si="0" ref="H37:H42">G37/F37</f>
        <v>1</v>
      </c>
      <c r="I37" s="63">
        <f aca="true" t="shared" si="1" ref="I37:I42">G37/G$229</f>
        <v>0.0013859506380410522</v>
      </c>
    </row>
    <row r="38" spans="2:9" s="3" customFormat="1" ht="12.75">
      <c r="B38" s="8" t="s">
        <v>304</v>
      </c>
      <c r="D38" s="10"/>
      <c r="F38" s="13">
        <v>77788</v>
      </c>
      <c r="G38" s="13">
        <v>113431</v>
      </c>
      <c r="H38" s="42">
        <f t="shared" si="0"/>
        <v>1.4582069213760478</v>
      </c>
      <c r="I38" s="63">
        <f t="shared" si="1"/>
        <v>0.005574814426370021</v>
      </c>
    </row>
    <row r="39" spans="2:9" s="3" customFormat="1" ht="12.75">
      <c r="B39" s="8" t="s">
        <v>305</v>
      </c>
      <c r="D39" s="10"/>
      <c r="F39" s="13">
        <v>50</v>
      </c>
      <c r="G39" s="13">
        <v>83</v>
      </c>
      <c r="H39" s="42">
        <f t="shared" si="0"/>
        <v>1.66</v>
      </c>
      <c r="I39" s="63">
        <f t="shared" si="1"/>
        <v>4.0792164169293375E-06</v>
      </c>
    </row>
    <row r="40" spans="2:9" s="3" customFormat="1" ht="12.75">
      <c r="B40" s="8" t="s">
        <v>306</v>
      </c>
      <c r="D40" s="10"/>
      <c r="F40" s="13">
        <f>23582-F41</f>
        <v>12321</v>
      </c>
      <c r="G40" s="13">
        <v>17253</v>
      </c>
      <c r="H40" s="42">
        <f t="shared" si="0"/>
        <v>1.400292184075968</v>
      </c>
      <c r="I40" s="63">
        <f t="shared" si="1"/>
        <v>0.0008479363956780948</v>
      </c>
    </row>
    <row r="41" spans="2:9" s="3" customFormat="1" ht="12.75">
      <c r="B41" s="8" t="s">
        <v>307</v>
      </c>
      <c r="D41" s="10"/>
      <c r="F41" s="13">
        <v>11261</v>
      </c>
      <c r="G41" s="13">
        <v>0</v>
      </c>
      <c r="H41" s="42">
        <f t="shared" si="0"/>
        <v>0</v>
      </c>
      <c r="I41" s="63">
        <f t="shared" si="1"/>
        <v>0</v>
      </c>
    </row>
    <row r="42" spans="2:9" s="3" customFormat="1" ht="12.75">
      <c r="B42" s="8" t="s">
        <v>308</v>
      </c>
      <c r="D42" s="10"/>
      <c r="F42" s="13">
        <v>72212</v>
      </c>
      <c r="G42" s="13">
        <v>72212</v>
      </c>
      <c r="H42" s="42">
        <f t="shared" si="0"/>
        <v>1</v>
      </c>
      <c r="I42" s="63">
        <f t="shared" si="1"/>
        <v>0.003549016577100016</v>
      </c>
    </row>
    <row r="43" spans="2:9" s="3" customFormat="1" ht="12.75">
      <c r="B43" s="8"/>
      <c r="D43" s="10"/>
      <c r="F43" s="13"/>
      <c r="G43" s="13"/>
      <c r="H43" s="42"/>
      <c r="I43" s="63"/>
    </row>
    <row r="44" spans="1:9" s="21" customFormat="1" ht="12.75">
      <c r="A44" s="21" t="s">
        <v>37</v>
      </c>
      <c r="B44" s="21" t="s">
        <v>38</v>
      </c>
      <c r="D44" s="22"/>
      <c r="F44" s="22"/>
      <c r="G44" s="22"/>
      <c r="H44" s="42"/>
      <c r="I44" s="63"/>
    </row>
    <row r="45" spans="2:9" ht="12.75">
      <c r="B45" t="s">
        <v>160</v>
      </c>
      <c r="F45" s="4">
        <v>640100</v>
      </c>
      <c r="G45" s="4">
        <v>721898</v>
      </c>
      <c r="H45" s="45">
        <f>G45/F45</f>
        <v>1.1277894079050148</v>
      </c>
      <c r="I45" s="61">
        <f>G45/G$229</f>
        <v>0.03547925509576452</v>
      </c>
    </row>
    <row r="46" spans="2:9" s="3" customFormat="1" ht="12.75">
      <c r="B46" s="8"/>
      <c r="D46" s="10"/>
      <c r="F46" s="13"/>
      <c r="G46" s="13"/>
      <c r="H46" s="42"/>
      <c r="I46" s="63"/>
    </row>
    <row r="47" spans="1:9" s="3" customFormat="1" ht="12.75">
      <c r="A47" s="3" t="s">
        <v>39</v>
      </c>
      <c r="B47" s="3" t="s">
        <v>40</v>
      </c>
      <c r="D47" s="10"/>
      <c r="F47" s="4"/>
      <c r="G47" s="4"/>
      <c r="H47" s="42"/>
      <c r="I47" s="63"/>
    </row>
    <row r="48" spans="2:9" ht="12.75">
      <c r="B48" t="s">
        <v>127</v>
      </c>
      <c r="F48" s="4">
        <f>F51+F54+F56+F58+F59+F60+F88+F92+F95+F97</f>
        <v>3808660</v>
      </c>
      <c r="G48" s="4">
        <f>G51+G54+G56+G58+G59+G60+G88+G92+G95+G97</f>
        <v>5388307</v>
      </c>
      <c r="H48" s="45">
        <f>G48/F48</f>
        <v>1.4147513823759537</v>
      </c>
      <c r="I48" s="61">
        <f>G48/G$229</f>
        <v>0.26482012498620805</v>
      </c>
    </row>
    <row r="49" spans="2:7" ht="12.75">
      <c r="B49" t="s">
        <v>11</v>
      </c>
      <c r="F49" s="5"/>
      <c r="G49" s="5"/>
    </row>
    <row r="50" spans="2:7" ht="12.75">
      <c r="B50" t="s">
        <v>179</v>
      </c>
      <c r="F50" s="5"/>
      <c r="G50" s="5"/>
    </row>
    <row r="51" spans="2:9" ht="12.75">
      <c r="B51" t="s">
        <v>41</v>
      </c>
      <c r="F51" s="5">
        <v>1036300</v>
      </c>
      <c r="G51" s="5">
        <v>1420233</v>
      </c>
      <c r="H51" s="42">
        <f>G51/F51</f>
        <v>1.3704844157097367</v>
      </c>
      <c r="I51" s="63">
        <f>G51/G$229</f>
        <v>0.06980045505379283</v>
      </c>
    </row>
    <row r="52" spans="2:7" ht="12.75">
      <c r="B52" t="s">
        <v>180</v>
      </c>
      <c r="F52" s="5"/>
      <c r="G52" s="5"/>
    </row>
    <row r="53" spans="2:7" ht="12.75">
      <c r="B53" t="s">
        <v>42</v>
      </c>
      <c r="F53" s="5"/>
      <c r="G53" s="5"/>
    </row>
    <row r="54" spans="2:9" ht="12.75">
      <c r="B54" t="s">
        <v>43</v>
      </c>
      <c r="F54" s="5">
        <v>1349400</v>
      </c>
      <c r="G54" s="5">
        <v>1300392</v>
      </c>
      <c r="H54" s="42">
        <f>G54/F54</f>
        <v>0.9636816362827924</v>
      </c>
      <c r="I54" s="63">
        <f>G54/G$229</f>
        <v>0.06391060716679006</v>
      </c>
    </row>
    <row r="55" spans="2:7" ht="12.75">
      <c r="B55" t="s">
        <v>181</v>
      </c>
      <c r="F55" s="5"/>
      <c r="G55" s="5"/>
    </row>
    <row r="56" spans="2:9" ht="12.75">
      <c r="B56" t="s">
        <v>44</v>
      </c>
      <c r="F56" s="5">
        <v>150000</v>
      </c>
      <c r="G56" s="5">
        <v>180752</v>
      </c>
      <c r="H56" s="42">
        <f>G56/F56</f>
        <v>1.2050133333333333</v>
      </c>
      <c r="I56" s="63">
        <f>G56/G$229</f>
        <v>0.008883452117985684</v>
      </c>
    </row>
    <row r="57" spans="2:7" ht="12.75">
      <c r="B57" t="s">
        <v>182</v>
      </c>
      <c r="F57" s="5"/>
      <c r="G57" s="5"/>
    </row>
    <row r="58" spans="2:9" ht="12.75">
      <c r="B58" t="s">
        <v>41</v>
      </c>
      <c r="F58" s="5">
        <v>200000</v>
      </c>
      <c r="G58" s="5">
        <v>1295638</v>
      </c>
      <c r="H58" s="42">
        <f>G58/F58</f>
        <v>6.47819</v>
      </c>
      <c r="I58" s="63">
        <f>G58/G$229</f>
        <v>0.06367696144575294</v>
      </c>
    </row>
    <row r="59" spans="2:9" ht="12.75">
      <c r="B59" t="s">
        <v>183</v>
      </c>
      <c r="F59" s="5">
        <v>165000</v>
      </c>
      <c r="G59" s="5">
        <v>180151</v>
      </c>
      <c r="H59" s="42">
        <f>G59/F59</f>
        <v>1.0918242424242424</v>
      </c>
      <c r="I59" s="63">
        <f>G59/G$229</f>
        <v>0.008853914659352254</v>
      </c>
    </row>
    <row r="60" spans="2:9" ht="12.75">
      <c r="B60" t="s">
        <v>119</v>
      </c>
      <c r="F60" s="5">
        <f>F62+F78+F80+F82+F86</f>
        <v>801960</v>
      </c>
      <c r="G60" s="5">
        <f>G62+G78+G80+G82+G86</f>
        <v>827438</v>
      </c>
      <c r="H60" s="42">
        <f>G60/F60</f>
        <v>1.0317696643224101</v>
      </c>
      <c r="I60" s="63">
        <f>G60/G$229</f>
        <v>0.04066624907941178</v>
      </c>
    </row>
    <row r="61" spans="2:7" ht="12.75">
      <c r="B61" t="s">
        <v>28</v>
      </c>
      <c r="F61" s="5"/>
      <c r="G61" s="5"/>
    </row>
    <row r="62" spans="2:9" s="39" customFormat="1" ht="12.75">
      <c r="B62" s="39" t="s">
        <v>45</v>
      </c>
      <c r="D62" s="40"/>
      <c r="E62" s="40"/>
      <c r="F62" s="41">
        <v>700000</v>
      </c>
      <c r="G62" s="41">
        <f>SUM(G64:G76)</f>
        <v>496989</v>
      </c>
      <c r="H62" s="42">
        <f>G62/F62</f>
        <v>0.7099842857142857</v>
      </c>
      <c r="I62" s="63">
        <f>G62/G$229</f>
        <v>0.024425610696786684</v>
      </c>
    </row>
    <row r="63" spans="2:9" s="20" customFormat="1" ht="12.75">
      <c r="B63" s="20" t="s">
        <v>19</v>
      </c>
      <c r="D63" s="27"/>
      <c r="E63" s="27"/>
      <c r="F63" s="25"/>
      <c r="G63" s="25"/>
      <c r="H63" s="42"/>
      <c r="I63" s="63"/>
    </row>
    <row r="64" spans="2:9" ht="12.75">
      <c r="B64" s="20" t="s">
        <v>309</v>
      </c>
      <c r="F64" s="5"/>
      <c r="G64" s="5">
        <f>3000+942+1000+2433+563+872+1885+942+563+639+650+2860</f>
        <v>16349</v>
      </c>
      <c r="I64" s="63">
        <f aca="true" t="shared" si="2" ref="I64:I76">G64/G$229</f>
        <v>0.0008035073397635873</v>
      </c>
    </row>
    <row r="65" spans="2:9" ht="12.75">
      <c r="B65" t="s">
        <v>311</v>
      </c>
      <c r="F65" s="5"/>
      <c r="G65" s="5">
        <v>630</v>
      </c>
      <c r="I65" s="63">
        <f t="shared" si="2"/>
        <v>3.0962727020066056E-05</v>
      </c>
    </row>
    <row r="66" spans="2:9" ht="12.75">
      <c r="B66" s="20" t="s">
        <v>312</v>
      </c>
      <c r="F66" s="5"/>
      <c r="G66" s="5">
        <v>3844</v>
      </c>
      <c r="I66" s="63">
        <f t="shared" si="2"/>
        <v>0.0001889217820081491</v>
      </c>
    </row>
    <row r="67" spans="2:9" ht="12.75">
      <c r="B67" t="s">
        <v>462</v>
      </c>
      <c r="F67" s="5"/>
      <c r="G67" s="5">
        <v>25616</v>
      </c>
      <c r="I67" s="63">
        <f t="shared" si="2"/>
        <v>0.0012589543100730352</v>
      </c>
    </row>
    <row r="68" spans="2:9" ht="12.75">
      <c r="B68" t="s">
        <v>313</v>
      </c>
      <c r="F68" s="5"/>
      <c r="G68" s="5">
        <v>2080</v>
      </c>
      <c r="I68" s="63">
        <f t="shared" si="2"/>
        <v>0.00010222614635196412</v>
      </c>
    </row>
    <row r="69" spans="2:9" ht="12.75">
      <c r="B69" t="s">
        <v>314</v>
      </c>
      <c r="F69" s="5"/>
      <c r="G69" s="5">
        <v>2889</v>
      </c>
      <c r="I69" s="63">
        <f t="shared" si="2"/>
        <v>0.00014198621962058865</v>
      </c>
    </row>
    <row r="70" spans="2:9" ht="12.75">
      <c r="B70" t="s">
        <v>315</v>
      </c>
      <c r="F70" s="5"/>
      <c r="G70" s="5">
        <v>2860</v>
      </c>
      <c r="I70" s="63">
        <f t="shared" si="2"/>
        <v>0.00014056095123395068</v>
      </c>
    </row>
    <row r="71" spans="2:9" ht="12.75">
      <c r="B71" t="s">
        <v>316</v>
      </c>
      <c r="F71" s="5"/>
      <c r="G71" s="5">
        <v>122000</v>
      </c>
      <c r="I71" s="63">
        <f t="shared" si="2"/>
        <v>0.005995956661028665</v>
      </c>
    </row>
    <row r="72" spans="2:9" ht="12.75">
      <c r="B72" t="s">
        <v>310</v>
      </c>
      <c r="F72" s="5"/>
      <c r="G72" s="5">
        <v>3278</v>
      </c>
      <c r="I72" s="63">
        <f t="shared" si="2"/>
        <v>0.00016110447487583578</v>
      </c>
    </row>
    <row r="73" spans="2:9" ht="12.75">
      <c r="B73" s="20" t="s">
        <v>317</v>
      </c>
      <c r="F73" s="5"/>
      <c r="G73" s="5">
        <v>410</v>
      </c>
      <c r="I73" s="63">
        <f t="shared" si="2"/>
        <v>2.0150346155916006E-05</v>
      </c>
    </row>
    <row r="74" spans="2:9" ht="12.75">
      <c r="B74" t="s">
        <v>460</v>
      </c>
      <c r="F74" s="5"/>
      <c r="G74" s="5">
        <v>141500</v>
      </c>
      <c r="I74" s="63">
        <f t="shared" si="2"/>
        <v>0.006954326783078329</v>
      </c>
    </row>
    <row r="75" spans="2:9" ht="12.75">
      <c r="B75" t="s">
        <v>463</v>
      </c>
      <c r="F75" s="5"/>
      <c r="G75" s="5">
        <v>1533</v>
      </c>
      <c r="I75" s="63">
        <f t="shared" si="2"/>
        <v>7.534263574882741E-05</v>
      </c>
    </row>
    <row r="76" spans="2:9" ht="12.75">
      <c r="B76" t="s">
        <v>461</v>
      </c>
      <c r="F76" s="5"/>
      <c r="G76" s="5">
        <v>174000</v>
      </c>
      <c r="I76" s="63">
        <f t="shared" si="2"/>
        <v>0.008551610319827768</v>
      </c>
    </row>
    <row r="77" spans="6:7" ht="12.75">
      <c r="F77" s="5"/>
      <c r="G77" s="5"/>
    </row>
    <row r="78" spans="2:9" s="39" customFormat="1" ht="12.75">
      <c r="B78" s="39" t="s">
        <v>46</v>
      </c>
      <c r="D78" s="40"/>
      <c r="E78" s="40"/>
      <c r="F78" s="41">
        <v>80000</v>
      </c>
      <c r="G78" s="41">
        <v>267611</v>
      </c>
      <c r="H78" s="42">
        <f>G78/F78</f>
        <v>3.3451375</v>
      </c>
      <c r="I78" s="63">
        <f>G78/G$229</f>
        <v>0.013152327524709361</v>
      </c>
    </row>
    <row r="79" spans="4:9" s="39" customFormat="1" ht="12.75">
      <c r="D79" s="40"/>
      <c r="E79" s="40"/>
      <c r="F79" s="41"/>
      <c r="G79" s="41"/>
      <c r="H79" s="42"/>
      <c r="I79" s="63"/>
    </row>
    <row r="80" spans="2:9" s="39" customFormat="1" ht="12.75">
      <c r="B80" s="39" t="s">
        <v>318</v>
      </c>
      <c r="D80" s="40"/>
      <c r="E80" s="40"/>
      <c r="F80" s="41">
        <v>0</v>
      </c>
      <c r="G80" s="41">
        <v>8520</v>
      </c>
      <c r="H80" s="42"/>
      <c r="I80" s="63">
        <f>G80/G$229</f>
        <v>0.00041873402255708384</v>
      </c>
    </row>
    <row r="81" spans="4:9" s="39" customFormat="1" ht="12.75">
      <c r="D81" s="40"/>
      <c r="E81" s="40"/>
      <c r="F81" s="41"/>
      <c r="G81" s="41"/>
      <c r="H81" s="42"/>
      <c r="I81" s="63"/>
    </row>
    <row r="82" spans="2:9" s="39" customFormat="1" ht="12.75">
      <c r="B82" s="39" t="s">
        <v>319</v>
      </c>
      <c r="D82" s="40"/>
      <c r="E82" s="40"/>
      <c r="F82" s="41">
        <v>0</v>
      </c>
      <c r="G82" s="41">
        <v>32358</v>
      </c>
      <c r="H82" s="42"/>
      <c r="I82" s="63">
        <f>G82/G$229</f>
        <v>0.001590304636373488</v>
      </c>
    </row>
    <row r="83" spans="4:9" s="39" customFormat="1" ht="12.75">
      <c r="D83" s="40"/>
      <c r="E83" s="40"/>
      <c r="F83" s="41"/>
      <c r="G83" s="41"/>
      <c r="H83" s="42"/>
      <c r="I83" s="63"/>
    </row>
    <row r="84" spans="2:9" s="39" customFormat="1" ht="12.75">
      <c r="B84" s="39" t="s">
        <v>235</v>
      </c>
      <c r="D84" s="40"/>
      <c r="E84" s="40"/>
      <c r="F84" s="41"/>
      <c r="G84" s="41"/>
      <c r="H84" s="42"/>
      <c r="I84" s="63"/>
    </row>
    <row r="85" spans="2:9" s="39" customFormat="1" ht="12.75">
      <c r="B85" s="39" t="s">
        <v>236</v>
      </c>
      <c r="D85" s="40"/>
      <c r="E85" s="40"/>
      <c r="F85" s="41"/>
      <c r="G85" s="41"/>
      <c r="H85" s="42"/>
      <c r="I85" s="63"/>
    </row>
    <row r="86" spans="2:9" s="39" customFormat="1" ht="12.75">
      <c r="B86" s="39" t="s">
        <v>292</v>
      </c>
      <c r="D86" s="40"/>
      <c r="E86" s="40"/>
      <c r="F86" s="41">
        <v>21960</v>
      </c>
      <c r="G86" s="41">
        <v>21960</v>
      </c>
      <c r="H86" s="42">
        <f>G86/F86</f>
        <v>1</v>
      </c>
      <c r="I86" s="63">
        <f>G86/G$229</f>
        <v>0.0010792721989851598</v>
      </c>
    </row>
    <row r="87" spans="4:9" s="39" customFormat="1" ht="12.75">
      <c r="D87" s="40"/>
      <c r="E87" s="40"/>
      <c r="F87" s="41"/>
      <c r="G87" s="41"/>
      <c r="H87" s="42"/>
      <c r="I87" s="63"/>
    </row>
    <row r="88" spans="2:9" ht="12.75">
      <c r="B88" s="9" t="s">
        <v>120</v>
      </c>
      <c r="C88" s="9"/>
      <c r="F88" s="5">
        <v>80000</v>
      </c>
      <c r="G88" s="5">
        <v>112472</v>
      </c>
      <c r="H88" s="42">
        <f>G88/F88</f>
        <v>1.4059</v>
      </c>
      <c r="I88" s="63">
        <f>G88/G$229</f>
        <v>0.005527682275239476</v>
      </c>
    </row>
    <row r="89" spans="2:7" ht="12.75">
      <c r="B89" s="9"/>
      <c r="C89" s="9"/>
      <c r="F89" s="5"/>
      <c r="G89" s="5"/>
    </row>
    <row r="90" spans="2:7" ht="12.75">
      <c r="B90" s="9" t="s">
        <v>465</v>
      </c>
      <c r="C90" s="9"/>
      <c r="F90" s="5"/>
      <c r="G90" s="5"/>
    </row>
    <row r="91" spans="2:3" ht="12.75">
      <c r="B91" s="9" t="s">
        <v>466</v>
      </c>
      <c r="C91" s="9"/>
    </row>
    <row r="92" spans="2:9" ht="12.75">
      <c r="B92" s="9" t="s">
        <v>467</v>
      </c>
      <c r="C92" s="9"/>
      <c r="F92" s="5">
        <v>10000</v>
      </c>
      <c r="G92" s="5">
        <v>52731</v>
      </c>
      <c r="H92" s="42">
        <f>G92/F92</f>
        <v>5.2731</v>
      </c>
      <c r="I92" s="63">
        <f>G92/G$229</f>
        <v>0.002591580251579529</v>
      </c>
    </row>
    <row r="93" spans="2:7" ht="12.75">
      <c r="B93" s="9"/>
      <c r="C93" s="9"/>
      <c r="F93" s="5"/>
      <c r="G93" s="5"/>
    </row>
    <row r="94" spans="2:7" ht="12.75">
      <c r="B94" t="s">
        <v>184</v>
      </c>
      <c r="F94" s="5"/>
      <c r="G94" s="5"/>
    </row>
    <row r="95" spans="2:9" ht="12.75">
      <c r="B95" s="48" t="s">
        <v>197</v>
      </c>
      <c r="F95" s="5">
        <v>16000</v>
      </c>
      <c r="G95" s="5">
        <v>16324</v>
      </c>
      <c r="H95" s="42">
        <f>G95/F95</f>
        <v>1.02025</v>
      </c>
      <c r="I95" s="63">
        <f>G95/G$229</f>
        <v>0.0008022786601199339</v>
      </c>
    </row>
    <row r="96" spans="2:7" ht="12.75">
      <c r="B96" s="48"/>
      <c r="F96" s="5"/>
      <c r="G96" s="5"/>
    </row>
    <row r="97" spans="2:9" s="20" customFormat="1" ht="12.75">
      <c r="B97" s="20" t="s">
        <v>468</v>
      </c>
      <c r="D97" s="27"/>
      <c r="F97" s="25">
        <v>0</v>
      </c>
      <c r="G97" s="25">
        <v>2176</v>
      </c>
      <c r="H97" s="42"/>
      <c r="I97" s="63">
        <f>G97/G$229</f>
        <v>0.00010694427618359325</v>
      </c>
    </row>
    <row r="98" spans="2:7" ht="12.75">
      <c r="B98" s="9"/>
      <c r="C98" s="9"/>
      <c r="F98" s="5"/>
      <c r="G98" s="5"/>
    </row>
    <row r="99" spans="1:9" s="21" customFormat="1" ht="12.75">
      <c r="A99" s="21" t="s">
        <v>67</v>
      </c>
      <c r="B99" s="23" t="s">
        <v>121</v>
      </c>
      <c r="C99" s="23"/>
      <c r="D99" s="22"/>
      <c r="F99" s="24">
        <f>SUM(F100:F103)</f>
        <v>7952</v>
      </c>
      <c r="G99" s="24">
        <f>SUM(G100:G103)</f>
        <v>26611</v>
      </c>
      <c r="H99" s="45">
        <f>G99/F99</f>
        <v>3.346453722334004</v>
      </c>
      <c r="I99" s="61">
        <f>G99/G$229</f>
        <v>0.001307855759890441</v>
      </c>
    </row>
    <row r="100" spans="2:9" ht="12.75">
      <c r="B100" s="9" t="s">
        <v>293</v>
      </c>
      <c r="C100" s="9"/>
      <c r="F100" s="5">
        <v>0</v>
      </c>
      <c r="G100" s="5">
        <v>0</v>
      </c>
      <c r="I100" s="63">
        <f>G100/G$229</f>
        <v>0</v>
      </c>
    </row>
    <row r="101" spans="2:9" ht="12.75">
      <c r="B101" s="9" t="s">
        <v>237</v>
      </c>
      <c r="C101" s="9"/>
      <c r="F101" s="5">
        <v>5186</v>
      </c>
      <c r="G101" s="5">
        <f>5888+1758</f>
        <v>7646</v>
      </c>
      <c r="H101" s="42">
        <f>G101/F101</f>
        <v>1.4743540300809872</v>
      </c>
      <c r="I101" s="63">
        <f>G101/G$229</f>
        <v>0.00037577938221496044</v>
      </c>
    </row>
    <row r="102" spans="2:9" ht="12.75">
      <c r="B102" s="9" t="s">
        <v>294</v>
      </c>
      <c r="C102" s="9"/>
      <c r="F102" s="5">
        <v>2766</v>
      </c>
      <c r="G102" s="5">
        <v>8896</v>
      </c>
      <c r="H102" s="42">
        <f>G102/F102</f>
        <v>3.2161966738973247</v>
      </c>
      <c r="I102" s="63">
        <f>G102/G$229</f>
        <v>0.0004372133643976312</v>
      </c>
    </row>
    <row r="103" spans="2:9" ht="12.75">
      <c r="B103" s="9" t="s">
        <v>469</v>
      </c>
      <c r="C103" s="9"/>
      <c r="F103" s="5">
        <v>0</v>
      </c>
      <c r="G103" s="5">
        <v>10069</v>
      </c>
      <c r="I103" s="63">
        <f>G103/G$229</f>
        <v>0.0004948630132778494</v>
      </c>
    </row>
    <row r="104" spans="2:7" ht="12" customHeight="1">
      <c r="B104" s="9"/>
      <c r="C104" s="9"/>
      <c r="F104" s="5"/>
      <c r="G104" s="5"/>
    </row>
    <row r="105" spans="1:9" s="3" customFormat="1" ht="12.75">
      <c r="A105" s="3" t="s">
        <v>47</v>
      </c>
      <c r="B105" s="3" t="s">
        <v>48</v>
      </c>
      <c r="D105" s="10"/>
      <c r="F105" s="4"/>
      <c r="G105" s="4"/>
      <c r="H105" s="42"/>
      <c r="I105" s="63"/>
    </row>
    <row r="106" spans="2:9" ht="12.75">
      <c r="B106" t="s">
        <v>126</v>
      </c>
      <c r="F106" s="4">
        <f>SUM(F108:F119)</f>
        <v>221001</v>
      </c>
      <c r="G106" s="4">
        <f>SUM(G108:G119)</f>
        <v>289869</v>
      </c>
      <c r="H106" s="45">
        <f>G106/F106</f>
        <v>1.3116184994638034</v>
      </c>
      <c r="I106" s="61">
        <f>G106/G$229</f>
        <v>0.01424624558504687</v>
      </c>
    </row>
    <row r="107" spans="2:7" ht="12.75">
      <c r="B107" t="s">
        <v>21</v>
      </c>
      <c r="F107" s="11"/>
      <c r="G107" s="11"/>
    </row>
    <row r="108" spans="2:9" ht="12.75">
      <c r="B108" s="48" t="s">
        <v>320</v>
      </c>
      <c r="F108" s="11">
        <v>1000</v>
      </c>
      <c r="G108" s="11">
        <v>1241</v>
      </c>
      <c r="H108" s="42">
        <f>G108/F108</f>
        <v>1.241</v>
      </c>
      <c r="I108" s="63">
        <f>G108/G$229</f>
        <v>6.0991657510955525E-05</v>
      </c>
    </row>
    <row r="109" spans="2:7" ht="12.75">
      <c r="B109" t="s">
        <v>321</v>
      </c>
      <c r="F109" s="5"/>
      <c r="G109" s="5"/>
    </row>
    <row r="110" spans="2:9" ht="12.75">
      <c r="B110" t="s">
        <v>23</v>
      </c>
      <c r="F110" s="5">
        <v>67200</v>
      </c>
      <c r="G110" s="5">
        <v>67200</v>
      </c>
      <c r="H110" s="42">
        <f aca="true" t="shared" si="3" ref="H110:H117">G110/F110</f>
        <v>1</v>
      </c>
      <c r="I110" s="63">
        <f>G110/G$229</f>
        <v>0.0033026908821403795</v>
      </c>
    </row>
    <row r="111" spans="2:9" ht="12.75">
      <c r="B111" t="s">
        <v>322</v>
      </c>
      <c r="F111" s="5">
        <v>18000</v>
      </c>
      <c r="G111" s="5">
        <v>28400</v>
      </c>
      <c r="H111" s="42">
        <f t="shared" si="3"/>
        <v>1.5777777777777777</v>
      </c>
      <c r="I111" s="63">
        <f>G111/G$229</f>
        <v>0.0013957800751902795</v>
      </c>
    </row>
    <row r="112" spans="2:9" ht="12.75">
      <c r="B112" t="s">
        <v>323</v>
      </c>
      <c r="F112" s="5">
        <v>3290</v>
      </c>
      <c r="G112" s="5">
        <v>3290</v>
      </c>
      <c r="H112" s="42">
        <f t="shared" si="3"/>
        <v>1</v>
      </c>
      <c r="I112" s="63">
        <f>G112/G$229</f>
        <v>0.00016169424110478941</v>
      </c>
    </row>
    <row r="113" spans="2:9" ht="12.75">
      <c r="B113" t="s">
        <v>324</v>
      </c>
      <c r="F113" s="5">
        <v>22800</v>
      </c>
      <c r="G113" s="5">
        <v>29276</v>
      </c>
      <c r="H113" s="42">
        <f t="shared" si="3"/>
        <v>1.2840350877192983</v>
      </c>
      <c r="I113" s="63">
        <f>G113/G$229</f>
        <v>0.0014388330099038952</v>
      </c>
    </row>
    <row r="114" spans="2:9" ht="12.75">
      <c r="B114" t="s">
        <v>470</v>
      </c>
      <c r="F114" s="5">
        <v>0</v>
      </c>
      <c r="G114" s="5">
        <v>697</v>
      </c>
      <c r="I114" s="63">
        <f>G114/G$229</f>
        <v>3.425558846505721E-05</v>
      </c>
    </row>
    <row r="115" spans="2:3" ht="12" customHeight="1">
      <c r="B115" s="9" t="s">
        <v>471</v>
      </c>
      <c r="C115" s="9"/>
    </row>
    <row r="116" spans="2:9" ht="12" customHeight="1">
      <c r="B116" s="9" t="s">
        <v>325</v>
      </c>
      <c r="C116" s="9"/>
      <c r="F116" s="5">
        <v>1000</v>
      </c>
      <c r="G116" s="5">
        <v>1400</v>
      </c>
      <c r="H116" s="42">
        <f>G116/F116</f>
        <v>1.4</v>
      </c>
      <c r="I116" s="63">
        <f>G116/G$229</f>
        <v>6.880606004459124E-05</v>
      </c>
    </row>
    <row r="117" spans="2:9" ht="12" customHeight="1">
      <c r="B117" s="9" t="s">
        <v>472</v>
      </c>
      <c r="C117" s="9"/>
      <c r="F117" s="5">
        <v>20000</v>
      </c>
      <c r="G117" s="5">
        <v>23038</v>
      </c>
      <c r="H117" s="42">
        <f t="shared" si="3"/>
        <v>1.1519</v>
      </c>
      <c r="I117" s="63">
        <f>G117/G$229</f>
        <v>0.001132252865219495</v>
      </c>
    </row>
    <row r="118" spans="2:9" ht="12" customHeight="1">
      <c r="B118" s="9" t="s">
        <v>473</v>
      </c>
      <c r="C118" s="9"/>
      <c r="F118" s="5">
        <v>87711</v>
      </c>
      <c r="G118" s="5">
        <v>124527</v>
      </c>
      <c r="H118" s="42">
        <f>G118/F118</f>
        <v>1.4197421076033794</v>
      </c>
      <c r="I118" s="63">
        <f>G118/G$229</f>
        <v>0.006120151599409152</v>
      </c>
    </row>
    <row r="119" spans="2:9" ht="12" customHeight="1">
      <c r="B119" s="9" t="s">
        <v>474</v>
      </c>
      <c r="C119" s="9"/>
      <c r="F119" s="5">
        <v>0</v>
      </c>
      <c r="G119" s="5">
        <v>10800</v>
      </c>
      <c r="I119" s="63">
        <f>G119/G$229</f>
        <v>0.0005307896060582753</v>
      </c>
    </row>
    <row r="120" spans="2:7" ht="12" customHeight="1">
      <c r="B120" s="9"/>
      <c r="C120" s="9"/>
      <c r="F120" s="5"/>
      <c r="G120" s="5"/>
    </row>
    <row r="121" spans="1:9" s="21" customFormat="1" ht="12" customHeight="1">
      <c r="A121" s="21" t="s">
        <v>49</v>
      </c>
      <c r="B121" s="23" t="s">
        <v>50</v>
      </c>
      <c r="C121" s="23"/>
      <c r="D121" s="22"/>
      <c r="F121" s="24">
        <f>SUM(F122:F125)</f>
        <v>30915</v>
      </c>
      <c r="G121" s="24">
        <f>SUM(G122:G125)</f>
        <v>30483</v>
      </c>
      <c r="H121" s="45">
        <f>G121/F121</f>
        <v>0.9860262008733625</v>
      </c>
      <c r="I121" s="61">
        <f>G121/G$229</f>
        <v>0.001498153663099482</v>
      </c>
    </row>
    <row r="122" spans="2:9" ht="12" customHeight="1">
      <c r="B122" t="s">
        <v>198</v>
      </c>
      <c r="C122" s="9"/>
      <c r="F122" s="5">
        <v>1100</v>
      </c>
      <c r="G122" s="5">
        <v>1100</v>
      </c>
      <c r="H122" s="42">
        <f>G122/F122</f>
        <v>1</v>
      </c>
      <c r="I122" s="63">
        <f>G122/G$229</f>
        <v>5.406190432075026E-05</v>
      </c>
    </row>
    <row r="123" spans="2:9" ht="12" customHeight="1">
      <c r="B123" t="s">
        <v>475</v>
      </c>
      <c r="C123" s="9"/>
      <c r="F123" s="5">
        <v>14970</v>
      </c>
      <c r="G123" s="5">
        <v>14970</v>
      </c>
      <c r="H123" s="42">
        <f>G123/F123</f>
        <v>1</v>
      </c>
      <c r="I123" s="63">
        <f>G123/G$229</f>
        <v>0.0007357333706196649</v>
      </c>
    </row>
    <row r="124" spans="2:9" ht="12" customHeight="1">
      <c r="B124" t="s">
        <v>476</v>
      </c>
      <c r="C124" s="9"/>
      <c r="F124" s="5">
        <v>9245</v>
      </c>
      <c r="G124" s="5">
        <v>9245</v>
      </c>
      <c r="H124" s="42">
        <f>G124/F124</f>
        <v>1</v>
      </c>
      <c r="I124" s="63">
        <f>G124/G$229</f>
        <v>0.0004543657322230329</v>
      </c>
    </row>
    <row r="125" spans="2:9" ht="12" customHeight="1">
      <c r="B125" t="s">
        <v>578</v>
      </c>
      <c r="C125" s="9"/>
      <c r="F125" s="5">
        <v>5600</v>
      </c>
      <c r="G125" s="5">
        <v>5168</v>
      </c>
      <c r="H125" s="42">
        <f>G125/F125</f>
        <v>0.9228571428571428</v>
      </c>
      <c r="I125" s="63">
        <f>G125/G$229</f>
        <v>0.000253992655936034</v>
      </c>
    </row>
    <row r="126" spans="3:7" ht="12" customHeight="1">
      <c r="C126" s="9"/>
      <c r="F126" s="5"/>
      <c r="G126" s="5"/>
    </row>
    <row r="127" spans="1:9" s="21" customFormat="1" ht="12" customHeight="1">
      <c r="A127" s="21" t="s">
        <v>326</v>
      </c>
      <c r="B127" s="21" t="s">
        <v>327</v>
      </c>
      <c r="C127" s="23"/>
      <c r="D127" s="22"/>
      <c r="F127" s="24">
        <f>F128</f>
        <v>500</v>
      </c>
      <c r="G127" s="24">
        <f>G128</f>
        <v>500</v>
      </c>
      <c r="H127" s="45">
        <f>G127/F127</f>
        <v>1</v>
      </c>
      <c r="I127" s="61">
        <f>G127/G$229</f>
        <v>2.45735928730683E-05</v>
      </c>
    </row>
    <row r="128" spans="2:9" ht="12" customHeight="1">
      <c r="B128" t="s">
        <v>328</v>
      </c>
      <c r="C128" s="9"/>
      <c r="F128" s="5">
        <v>500</v>
      </c>
      <c r="G128" s="5">
        <v>500</v>
      </c>
      <c r="H128" s="42">
        <f>G128/F128</f>
        <v>1</v>
      </c>
      <c r="I128" s="63">
        <f>G128/G$229</f>
        <v>2.45735928730683E-05</v>
      </c>
    </row>
    <row r="129" spans="3:7" ht="12" customHeight="1">
      <c r="C129" s="9"/>
      <c r="F129" s="5"/>
      <c r="G129" s="5"/>
    </row>
    <row r="130" spans="1:9" s="3" customFormat="1" ht="12.75">
      <c r="A130" s="3" t="s">
        <v>51</v>
      </c>
      <c r="B130" s="26" t="s">
        <v>52</v>
      </c>
      <c r="D130" s="10"/>
      <c r="F130" s="4">
        <f>SUM(F131:F131)</f>
        <v>20000</v>
      </c>
      <c r="G130" s="4">
        <f>SUM(G131:G131)</f>
        <v>27503</v>
      </c>
      <c r="H130" s="45">
        <f>G130/F130</f>
        <v>1.37515</v>
      </c>
      <c r="I130" s="61">
        <f>G130/G$229</f>
        <v>0.001351695049575995</v>
      </c>
    </row>
    <row r="131" spans="2:9" ht="12.75">
      <c r="B131" t="s">
        <v>329</v>
      </c>
      <c r="F131" s="25">
        <v>20000</v>
      </c>
      <c r="G131" s="25">
        <v>27503</v>
      </c>
      <c r="H131" s="42">
        <f>G131/F131</f>
        <v>1.37515</v>
      </c>
      <c r="I131" s="63">
        <f>G131/G$229</f>
        <v>0.001351695049575995</v>
      </c>
    </row>
    <row r="132" spans="2:7" ht="12" customHeight="1">
      <c r="B132" s="9"/>
      <c r="C132" s="9"/>
      <c r="F132" s="5"/>
      <c r="G132" s="5"/>
    </row>
    <row r="133" spans="1:9" s="3" customFormat="1" ht="12.75">
      <c r="A133" s="3" t="s">
        <v>53</v>
      </c>
      <c r="B133" s="3" t="s">
        <v>22</v>
      </c>
      <c r="D133" s="10"/>
      <c r="F133" s="5"/>
      <c r="G133" s="5"/>
      <c r="H133" s="42"/>
      <c r="I133" s="63"/>
    </row>
    <row r="134" spans="2:9" s="3" customFormat="1" ht="12.75">
      <c r="B134" s="3" t="s">
        <v>54</v>
      </c>
      <c r="D134" s="10"/>
      <c r="F134" s="5"/>
      <c r="G134" s="5"/>
      <c r="H134" s="42"/>
      <c r="I134" s="63"/>
    </row>
    <row r="135" spans="2:9" ht="12.75">
      <c r="B135" t="s">
        <v>127</v>
      </c>
      <c r="F135" s="4">
        <f>SUM(F138:F152)</f>
        <v>8235225</v>
      </c>
      <c r="G135" s="4">
        <f>SUM(G138:G152)</f>
        <v>8927252</v>
      </c>
      <c r="H135" s="45">
        <f>G135/F135</f>
        <v>1.0840325552732317</v>
      </c>
      <c r="I135" s="61">
        <f>G135/G$229</f>
        <v>0.4387493122465695</v>
      </c>
    </row>
    <row r="136" spans="2:7" ht="12.75">
      <c r="B136" t="s">
        <v>21</v>
      </c>
      <c r="F136" s="5"/>
      <c r="G136" s="5"/>
    </row>
    <row r="137" spans="2:7" ht="12.75">
      <c r="B137" s="8" t="s">
        <v>55</v>
      </c>
      <c r="F137" s="5"/>
      <c r="G137" s="5"/>
    </row>
    <row r="138" spans="2:9" ht="12.75">
      <c r="B138" s="8" t="s">
        <v>161</v>
      </c>
      <c r="F138" s="5">
        <v>139100</v>
      </c>
      <c r="G138" s="5">
        <v>139452</v>
      </c>
      <c r="H138" s="42">
        <f aca="true" t="shared" si="4" ref="H138:H152">G138/F138</f>
        <v>1.0025305535585909</v>
      </c>
      <c r="I138" s="63">
        <f aca="true" t="shared" si="5" ref="I138:I152">G138/G$229</f>
        <v>0.006853673346670241</v>
      </c>
    </row>
    <row r="139" spans="2:9" ht="12.75">
      <c r="B139" s="20" t="s">
        <v>238</v>
      </c>
      <c r="F139" s="5">
        <f>3385000+1305448</f>
        <v>4690448</v>
      </c>
      <c r="G139" s="5">
        <f>3622571+1288638</f>
        <v>4911209</v>
      </c>
      <c r="H139" s="42">
        <f t="shared" si="4"/>
        <v>1.047066079828622</v>
      </c>
      <c r="I139" s="63">
        <f t="shared" si="5"/>
        <v>0.2413721009610978</v>
      </c>
    </row>
    <row r="140" spans="2:9" ht="12.75">
      <c r="B140" t="s">
        <v>239</v>
      </c>
      <c r="F140" s="5">
        <f>1100+4290</f>
        <v>5390</v>
      </c>
      <c r="G140" s="5">
        <f>5202+317</f>
        <v>5519</v>
      </c>
      <c r="H140" s="42">
        <f t="shared" si="4"/>
        <v>1.0239332096474953</v>
      </c>
      <c r="I140" s="63">
        <f t="shared" si="5"/>
        <v>0.0002712433181329279</v>
      </c>
    </row>
    <row r="141" spans="2:9" ht="12.75">
      <c r="B141" s="20" t="s">
        <v>240</v>
      </c>
      <c r="F141" s="5">
        <v>56750</v>
      </c>
      <c r="G141" s="5">
        <v>62384</v>
      </c>
      <c r="H141" s="42">
        <f t="shared" si="4"/>
        <v>1.0992775330396476</v>
      </c>
      <c r="I141" s="63">
        <f t="shared" si="5"/>
        <v>0.0030659980355869855</v>
      </c>
    </row>
    <row r="142" spans="2:9" ht="12.75">
      <c r="B142" s="8" t="s">
        <v>241</v>
      </c>
      <c r="C142" s="8"/>
      <c r="D142" s="13"/>
      <c r="E142" s="8"/>
      <c r="F142" s="5">
        <f>11000+59000</f>
        <v>70000</v>
      </c>
      <c r="G142" s="5">
        <f>53984+8260</f>
        <v>62244</v>
      </c>
      <c r="H142" s="42">
        <f t="shared" si="4"/>
        <v>0.8892</v>
      </c>
      <c r="I142" s="63">
        <f t="shared" si="5"/>
        <v>0.0030591174295825268</v>
      </c>
    </row>
    <row r="143" spans="2:9" ht="12.75">
      <c r="B143" s="8" t="s">
        <v>242</v>
      </c>
      <c r="C143" s="8"/>
      <c r="D143" s="13"/>
      <c r="E143" s="8"/>
      <c r="F143" s="5">
        <v>143200</v>
      </c>
      <c r="G143" s="5">
        <v>48452</v>
      </c>
      <c r="H143" s="42">
        <f t="shared" si="4"/>
        <v>0.3383519553072626</v>
      </c>
      <c r="I143" s="63">
        <f t="shared" si="5"/>
        <v>0.0023812794437718106</v>
      </c>
    </row>
    <row r="144" spans="2:9" ht="12.75">
      <c r="B144" s="8" t="s">
        <v>243</v>
      </c>
      <c r="C144" s="8"/>
      <c r="D144" s="13"/>
      <c r="E144" s="8"/>
      <c r="F144" s="5">
        <v>7000</v>
      </c>
      <c r="G144" s="5">
        <v>6247</v>
      </c>
      <c r="H144" s="42">
        <f t="shared" si="4"/>
        <v>0.8924285714285715</v>
      </c>
      <c r="I144" s="63">
        <f t="shared" si="5"/>
        <v>0.00030702246935611534</v>
      </c>
    </row>
    <row r="145" spans="2:9" ht="12.75">
      <c r="B145" s="8" t="s">
        <v>244</v>
      </c>
      <c r="C145" s="8"/>
      <c r="D145" s="13"/>
      <c r="E145" s="8"/>
      <c r="F145" s="5">
        <v>240000</v>
      </c>
      <c r="G145" s="5">
        <v>237998</v>
      </c>
      <c r="H145" s="42">
        <f t="shared" si="4"/>
        <v>0.9916583333333333</v>
      </c>
      <c r="I145" s="63">
        <f t="shared" si="5"/>
        <v>0.01169693191320902</v>
      </c>
    </row>
    <row r="146" spans="2:9" ht="12.75">
      <c r="B146" s="8" t="s">
        <v>245</v>
      </c>
      <c r="C146" s="8"/>
      <c r="D146" s="13"/>
      <c r="E146" s="8"/>
      <c r="F146" s="5">
        <f>10401+370000</f>
        <v>380401</v>
      </c>
      <c r="G146" s="5">
        <f>735591+6188</f>
        <v>741779</v>
      </c>
      <c r="H146" s="42">
        <f t="shared" si="4"/>
        <v>1.949992245025644</v>
      </c>
      <c r="I146" s="63">
        <f t="shared" si="5"/>
        <v>0.03645635029558346</v>
      </c>
    </row>
    <row r="147" spans="2:9" ht="12.75">
      <c r="B147" s="20" t="s">
        <v>246</v>
      </c>
      <c r="C147" s="8"/>
      <c r="D147" s="13"/>
      <c r="E147" s="8"/>
      <c r="F147" s="5">
        <f>2000+8400</f>
        <v>10400</v>
      </c>
      <c r="G147" s="5">
        <f>8006+8069</f>
        <v>16075</v>
      </c>
      <c r="H147" s="42">
        <f t="shared" si="4"/>
        <v>1.5456730769230769</v>
      </c>
      <c r="I147" s="63">
        <f t="shared" si="5"/>
        <v>0.0007900410108691459</v>
      </c>
    </row>
    <row r="148" spans="2:9" ht="12.75">
      <c r="B148" s="8" t="s">
        <v>247</v>
      </c>
      <c r="C148" s="8"/>
      <c r="D148" s="13"/>
      <c r="E148" s="8"/>
      <c r="F148" s="5">
        <f>52800+13000</f>
        <v>65800</v>
      </c>
      <c r="G148" s="5">
        <f>25445+20715</f>
        <v>46160</v>
      </c>
      <c r="H148" s="42">
        <f t="shared" si="4"/>
        <v>0.7015197568389058</v>
      </c>
      <c r="I148" s="63">
        <f t="shared" si="5"/>
        <v>0.0022686340940416654</v>
      </c>
    </row>
    <row r="149" spans="2:9" ht="12.75">
      <c r="B149" s="8" t="s">
        <v>248</v>
      </c>
      <c r="C149" s="8"/>
      <c r="D149" s="13"/>
      <c r="E149" s="8"/>
      <c r="F149" s="5">
        <v>50000</v>
      </c>
      <c r="G149" s="5">
        <f>42638+10</f>
        <v>42648</v>
      </c>
      <c r="H149" s="42">
        <f t="shared" si="4"/>
        <v>0.85296</v>
      </c>
      <c r="I149" s="63">
        <f t="shared" si="5"/>
        <v>0.0020960291777012336</v>
      </c>
    </row>
    <row r="150" spans="2:9" ht="12.75">
      <c r="B150" s="8" t="s">
        <v>249</v>
      </c>
      <c r="C150" s="8"/>
      <c r="D150" s="13"/>
      <c r="E150" s="8"/>
      <c r="F150" s="5">
        <v>290000</v>
      </c>
      <c r="G150" s="5">
        <v>355845</v>
      </c>
      <c r="H150" s="42">
        <f t="shared" si="4"/>
        <v>1.227051724137931</v>
      </c>
      <c r="I150" s="63">
        <f t="shared" si="5"/>
        <v>0.017488780311833978</v>
      </c>
    </row>
    <row r="151" spans="2:9" ht="12.75">
      <c r="B151" s="8" t="s">
        <v>250</v>
      </c>
      <c r="C151" s="8"/>
      <c r="D151" s="13"/>
      <c r="E151" s="8"/>
      <c r="F151" s="5">
        <v>2036736</v>
      </c>
      <c r="G151" s="5">
        <v>2112003</v>
      </c>
      <c r="H151" s="42">
        <f t="shared" si="4"/>
        <v>1.036954715780543</v>
      </c>
      <c r="I151" s="63">
        <f t="shared" si="5"/>
        <v>0.10379900373739774</v>
      </c>
    </row>
    <row r="152" spans="2:9" ht="12.75">
      <c r="B152" s="8" t="s">
        <v>251</v>
      </c>
      <c r="C152" s="8"/>
      <c r="D152" s="13"/>
      <c r="E152" s="8"/>
      <c r="F152" s="5">
        <v>50000</v>
      </c>
      <c r="G152" s="5">
        <v>139237</v>
      </c>
      <c r="H152" s="42">
        <f t="shared" si="4"/>
        <v>2.78474</v>
      </c>
      <c r="I152" s="63">
        <f t="shared" si="5"/>
        <v>0.006843106701734822</v>
      </c>
    </row>
    <row r="153" spans="2:7" ht="12" customHeight="1">
      <c r="B153" s="9"/>
      <c r="C153" s="9"/>
      <c r="F153" s="5"/>
      <c r="G153" s="5"/>
    </row>
    <row r="154" spans="1:9" s="3" customFormat="1" ht="12.75">
      <c r="A154" s="3" t="s">
        <v>56</v>
      </c>
      <c r="B154" s="3" t="s">
        <v>24</v>
      </c>
      <c r="D154" s="10"/>
      <c r="F154" s="4">
        <f>SUM(F156:F158)</f>
        <v>2538129</v>
      </c>
      <c r="G154" s="4">
        <f>SUM(G156:G158)</f>
        <v>2537330</v>
      </c>
      <c r="H154" s="45">
        <f>G154/F154</f>
        <v>0.9996852011855978</v>
      </c>
      <c r="I154" s="61">
        <f>G154/G$229</f>
        <v>0.12470262880924478</v>
      </c>
    </row>
    <row r="155" spans="2:7" ht="12.75">
      <c r="B155" t="s">
        <v>21</v>
      </c>
      <c r="F155" s="4"/>
      <c r="G155" s="4"/>
    </row>
    <row r="156" spans="2:9" ht="12.75">
      <c r="B156" t="s">
        <v>122</v>
      </c>
      <c r="F156" s="25">
        <v>2086840</v>
      </c>
      <c r="G156" s="25">
        <v>2086840</v>
      </c>
      <c r="H156" s="42">
        <f>G156/F156</f>
        <v>1</v>
      </c>
      <c r="I156" s="63">
        <f>G156/G$229</f>
        <v>0.1025623131024677</v>
      </c>
    </row>
    <row r="157" spans="2:9" ht="12.75">
      <c r="B157" t="s">
        <v>330</v>
      </c>
      <c r="F157" s="25">
        <v>451289</v>
      </c>
      <c r="G157" s="25">
        <v>451289</v>
      </c>
      <c r="H157" s="42">
        <f>G157/F157</f>
        <v>1</v>
      </c>
      <c r="I157" s="63">
        <f>G157/G$229</f>
        <v>0.02217958430818824</v>
      </c>
    </row>
    <row r="158" spans="2:7" ht="12.75">
      <c r="B158" t="s">
        <v>331</v>
      </c>
      <c r="F158" s="25">
        <v>0</v>
      </c>
      <c r="G158" s="25">
        <v>-799</v>
      </c>
    </row>
    <row r="159" spans="2:7" ht="12" customHeight="1">
      <c r="B159" s="9"/>
      <c r="C159" s="9"/>
      <c r="F159" s="25"/>
      <c r="G159" s="25"/>
    </row>
    <row r="160" spans="1:9" s="3" customFormat="1" ht="12.75">
      <c r="A160" s="3" t="s">
        <v>57</v>
      </c>
      <c r="B160" s="3" t="s">
        <v>12</v>
      </c>
      <c r="D160" s="10"/>
      <c r="F160" s="4"/>
      <c r="G160" s="4"/>
      <c r="H160" s="42"/>
      <c r="I160" s="63"/>
    </row>
    <row r="161" spans="2:9" ht="12.75">
      <c r="B161" t="s">
        <v>126</v>
      </c>
      <c r="F161" s="4">
        <f>F163+F169+F175+F181+F182+F183+F185</f>
        <v>492173</v>
      </c>
      <c r="G161" s="4">
        <f>G163+G169+G175+G181+G182+G183+G185</f>
        <v>492460</v>
      </c>
      <c r="H161" s="45">
        <f>G161/F161</f>
        <v>1.0005831282902558</v>
      </c>
      <c r="I161" s="61">
        <f>G161/G$229</f>
        <v>0.02420302309254243</v>
      </c>
    </row>
    <row r="162" spans="2:7" ht="12.75">
      <c r="B162" t="s">
        <v>13</v>
      </c>
      <c r="F162" s="5"/>
      <c r="G162" s="5"/>
    </row>
    <row r="163" spans="2:9" ht="12.75">
      <c r="B163" t="s">
        <v>164</v>
      </c>
      <c r="F163" s="5">
        <f>SUM(F165:F167)</f>
        <v>105879</v>
      </c>
      <c r="G163" s="5">
        <f>SUM(G165:G167)</f>
        <v>132067</v>
      </c>
      <c r="H163" s="42">
        <f>G163/F163</f>
        <v>1.247338943510989</v>
      </c>
      <c r="I163" s="63">
        <f>G163/G$229</f>
        <v>0.006490721379935022</v>
      </c>
    </row>
    <row r="164" spans="2:9" ht="12.75">
      <c r="B164" t="s">
        <v>252</v>
      </c>
      <c r="F164" s="5"/>
      <c r="G164" s="5"/>
      <c r="I164" s="63">
        <f>G164/G$229</f>
        <v>0</v>
      </c>
    </row>
    <row r="165" spans="2:9" ht="12.75">
      <c r="B165" t="s">
        <v>257</v>
      </c>
      <c r="F165" s="5">
        <f>101000+120</f>
        <v>101120</v>
      </c>
      <c r="G165" s="5">
        <f>126422+343</f>
        <v>126765</v>
      </c>
      <c r="H165" s="42">
        <f>G165/F165</f>
        <v>1.2536095727848102</v>
      </c>
      <c r="I165" s="63">
        <f>G165/G$229</f>
        <v>0.006230143001109007</v>
      </c>
    </row>
    <row r="166" spans="2:9" ht="12.75">
      <c r="B166" t="s">
        <v>253</v>
      </c>
      <c r="F166" s="5">
        <f>200+800</f>
        <v>1000</v>
      </c>
      <c r="G166" s="5">
        <f>981+318</f>
        <v>1299</v>
      </c>
      <c r="H166" s="42">
        <f>G166/F166</f>
        <v>1.299</v>
      </c>
      <c r="I166" s="63">
        <f>G166/G$229</f>
        <v>6.384219428423145E-05</v>
      </c>
    </row>
    <row r="167" spans="2:9" ht="12.75">
      <c r="B167" t="s">
        <v>254</v>
      </c>
      <c r="F167" s="5">
        <v>3759</v>
      </c>
      <c r="G167" s="5">
        <f>3924+79</f>
        <v>4003</v>
      </c>
      <c r="H167" s="42">
        <f>G167/F167</f>
        <v>1.0649108805533387</v>
      </c>
      <c r="I167" s="63">
        <f>G167/G$229</f>
        <v>0.0001967361845417848</v>
      </c>
    </row>
    <row r="168" spans="2:7" ht="12.75">
      <c r="B168" t="s">
        <v>123</v>
      </c>
      <c r="F168" s="5"/>
      <c r="G168" s="5"/>
    </row>
    <row r="169" spans="2:9" ht="12.75">
      <c r="B169" t="s">
        <v>14</v>
      </c>
      <c r="F169" s="5">
        <f>SUM(F171:F174)</f>
        <v>72460</v>
      </c>
      <c r="G169" s="5">
        <f>SUM(G171:G174)</f>
        <v>72238</v>
      </c>
      <c r="H169" s="42">
        <f>G169/F169</f>
        <v>0.9969362406845156</v>
      </c>
      <c r="I169" s="63">
        <f>G169/G$229</f>
        <v>0.003550294403929416</v>
      </c>
    </row>
    <row r="170" spans="2:7" ht="12.75">
      <c r="B170" t="s">
        <v>15</v>
      </c>
      <c r="F170" s="5"/>
      <c r="G170" s="5"/>
    </row>
    <row r="171" spans="2:9" ht="12.75">
      <c r="B171" t="s">
        <v>16</v>
      </c>
      <c r="F171" s="5">
        <v>11000</v>
      </c>
      <c r="G171" s="5">
        <v>7611</v>
      </c>
      <c r="H171" s="42">
        <f>G171/F171</f>
        <v>0.6919090909090909</v>
      </c>
      <c r="I171" s="63">
        <f>G171/G$229</f>
        <v>0.0003740592307138457</v>
      </c>
    </row>
    <row r="172" spans="2:9" ht="12.75">
      <c r="B172" t="s">
        <v>17</v>
      </c>
      <c r="F172" s="5">
        <v>12900</v>
      </c>
      <c r="G172" s="5">
        <v>13009</v>
      </c>
      <c r="H172" s="42">
        <f>G172/F172</f>
        <v>1.0084496124031008</v>
      </c>
      <c r="I172" s="63">
        <f>G172/G$229</f>
        <v>0.0006393557393714911</v>
      </c>
    </row>
    <row r="173" spans="2:9" ht="12.75">
      <c r="B173" t="s">
        <v>18</v>
      </c>
      <c r="F173" s="5">
        <v>11000</v>
      </c>
      <c r="G173" s="5">
        <v>13834</v>
      </c>
      <c r="H173" s="42">
        <f>G173/F173</f>
        <v>1.2576363636363637</v>
      </c>
      <c r="I173" s="63">
        <f>G173/G$229</f>
        <v>0.0006799021676120537</v>
      </c>
    </row>
    <row r="174" spans="2:9" ht="12.75">
      <c r="B174" t="s">
        <v>263</v>
      </c>
      <c r="F174" s="5">
        <v>37560</v>
      </c>
      <c r="G174" s="5">
        <v>37784</v>
      </c>
      <c r="H174" s="42">
        <f>G174/F174</f>
        <v>1.0059637912673056</v>
      </c>
      <c r="I174" s="63">
        <f>G174/G$229</f>
        <v>0.0018569772662320252</v>
      </c>
    </row>
    <row r="175" spans="2:9" ht="12.75">
      <c r="B175" t="s">
        <v>125</v>
      </c>
      <c r="F175" s="5">
        <f>SUM(F177:F180)</f>
        <v>309750</v>
      </c>
      <c r="G175" s="5">
        <f>SUM(G177:G180)</f>
        <v>282696</v>
      </c>
      <c r="H175" s="42">
        <f>G175/F175</f>
        <v>0.9126585956416465</v>
      </c>
      <c r="I175" s="63">
        <f>G175/G$229</f>
        <v>0.013893712821689833</v>
      </c>
    </row>
    <row r="176" spans="2:7" ht="12.75">
      <c r="B176" t="s">
        <v>19</v>
      </c>
      <c r="F176" s="5"/>
      <c r="G176" s="5"/>
    </row>
    <row r="177" spans="2:9" ht="12.75">
      <c r="B177" t="s">
        <v>20</v>
      </c>
      <c r="F177" s="5">
        <v>96500</v>
      </c>
      <c r="G177" s="5">
        <v>97299</v>
      </c>
      <c r="H177" s="42">
        <f aca="true" t="shared" si="6" ref="H177:H183">G177/F177</f>
        <v>1.008279792746114</v>
      </c>
      <c r="I177" s="63">
        <f aca="true" t="shared" si="7" ref="I177:I183">G177/G$229</f>
        <v>0.004781972025913345</v>
      </c>
    </row>
    <row r="178" spans="2:9" ht="12.75">
      <c r="B178" t="s">
        <v>162</v>
      </c>
      <c r="F178" s="5">
        <v>33550</v>
      </c>
      <c r="G178" s="5">
        <v>33625</v>
      </c>
      <c r="H178" s="42">
        <f t="shared" si="6"/>
        <v>1.0022354694485842</v>
      </c>
      <c r="I178" s="63">
        <f t="shared" si="7"/>
        <v>0.0016525741207138432</v>
      </c>
    </row>
    <row r="179" spans="2:9" ht="12.75">
      <c r="B179" s="9" t="s">
        <v>124</v>
      </c>
      <c r="F179" s="5">
        <v>96200</v>
      </c>
      <c r="G179" s="5">
        <v>73942</v>
      </c>
      <c r="H179" s="42">
        <f t="shared" si="6"/>
        <v>0.7686278586278587</v>
      </c>
      <c r="I179" s="63">
        <f t="shared" si="7"/>
        <v>0.0036340412084408325</v>
      </c>
    </row>
    <row r="180" spans="2:9" ht="12.75">
      <c r="B180" s="9" t="s">
        <v>255</v>
      </c>
      <c r="F180" s="5">
        <v>83500</v>
      </c>
      <c r="G180" s="5">
        <v>77830</v>
      </c>
      <c r="H180" s="42">
        <f t="shared" si="6"/>
        <v>0.9320958083832336</v>
      </c>
      <c r="I180" s="63">
        <f t="shared" si="7"/>
        <v>0.0038251254666218115</v>
      </c>
    </row>
    <row r="181" spans="2:9" ht="12.75">
      <c r="B181" t="s">
        <v>163</v>
      </c>
      <c r="F181" s="5">
        <f>500</f>
        <v>500</v>
      </c>
      <c r="G181" s="5">
        <f>481+255</f>
        <v>736</v>
      </c>
      <c r="H181" s="42">
        <f t="shared" si="6"/>
        <v>1.472</v>
      </c>
      <c r="I181" s="63">
        <f t="shared" si="7"/>
        <v>3.617232870915654E-05</v>
      </c>
    </row>
    <row r="182" spans="2:9" ht="12.75">
      <c r="B182" t="s">
        <v>256</v>
      </c>
      <c r="F182" s="5">
        <v>884</v>
      </c>
      <c r="G182" s="5">
        <v>884</v>
      </c>
      <c r="H182" s="42">
        <f t="shared" si="6"/>
        <v>1</v>
      </c>
      <c r="I182" s="63">
        <f t="shared" si="7"/>
        <v>4.344611219958476E-05</v>
      </c>
    </row>
    <row r="183" spans="2:9" ht="12.75">
      <c r="B183" t="s">
        <v>477</v>
      </c>
      <c r="F183" s="5">
        <v>2500</v>
      </c>
      <c r="G183" s="5">
        <v>3639</v>
      </c>
      <c r="H183" s="42">
        <f t="shared" si="6"/>
        <v>1.4556</v>
      </c>
      <c r="I183" s="63">
        <f t="shared" si="7"/>
        <v>0.0001788466089301911</v>
      </c>
    </row>
    <row r="184" spans="2:7" ht="12.75">
      <c r="B184" t="s">
        <v>478</v>
      </c>
      <c r="F184" s="5"/>
      <c r="G184" s="5"/>
    </row>
    <row r="185" spans="2:9" ht="12.75">
      <c r="B185" t="s">
        <v>579</v>
      </c>
      <c r="F185" s="5">
        <v>200</v>
      </c>
      <c r="G185" s="5">
        <v>200</v>
      </c>
      <c r="H185" s="42">
        <f>G185/F185</f>
        <v>1</v>
      </c>
      <c r="I185" s="63">
        <f>G185/G$229</f>
        <v>9.829437149227321E-06</v>
      </c>
    </row>
    <row r="186" spans="6:7" ht="12.75">
      <c r="F186" s="5"/>
      <c r="G186" s="5"/>
    </row>
    <row r="187" spans="1:9" s="21" customFormat="1" ht="12.75">
      <c r="A187" s="21" t="s">
        <v>79</v>
      </c>
      <c r="B187" s="21" t="s">
        <v>31</v>
      </c>
      <c r="D187" s="22"/>
      <c r="F187" s="24">
        <f>SUM(F188:F188)</f>
        <v>0</v>
      </c>
      <c r="G187" s="24">
        <f>SUM(G188:G188)</f>
        <v>366</v>
      </c>
      <c r="H187" s="45"/>
      <c r="I187" s="61">
        <f>G187/G$229</f>
        <v>1.7987869983085994E-05</v>
      </c>
    </row>
    <row r="188" spans="2:9" ht="12.75">
      <c r="B188" t="s">
        <v>332</v>
      </c>
      <c r="F188" s="5">
        <v>0</v>
      </c>
      <c r="G188" s="5">
        <v>366</v>
      </c>
      <c r="I188" s="63">
        <f>G188/G$229</f>
        <v>1.7987869983085994E-05</v>
      </c>
    </row>
    <row r="189" spans="6:7" ht="12.75">
      <c r="F189" s="5"/>
      <c r="G189" s="5"/>
    </row>
    <row r="190" spans="1:9" s="3" customFormat="1" ht="12.75">
      <c r="A190" s="3" t="s">
        <v>258</v>
      </c>
      <c r="B190" s="3" t="s">
        <v>259</v>
      </c>
      <c r="D190" s="10"/>
      <c r="F190" s="5"/>
      <c r="G190" s="5"/>
      <c r="H190" s="42"/>
      <c r="I190" s="63"/>
    </row>
    <row r="191" spans="2:9" ht="12.75">
      <c r="B191" t="s">
        <v>126</v>
      </c>
      <c r="F191" s="4">
        <f>SUM(F193:F203)</f>
        <v>1422370</v>
      </c>
      <c r="G191" s="4">
        <f>SUM(G193:G203)</f>
        <v>1405016</v>
      </c>
      <c r="H191" s="45">
        <f>G191/F191</f>
        <v>0.9877992364855839</v>
      </c>
      <c r="I191" s="61">
        <f>G191/G$229</f>
        <v>0.06905258232829387</v>
      </c>
    </row>
    <row r="192" spans="2:7" ht="12.75">
      <c r="B192" t="s">
        <v>21</v>
      </c>
      <c r="F192" s="5"/>
      <c r="G192" s="5"/>
    </row>
    <row r="193" spans="2:7" ht="12.75">
      <c r="B193" t="s">
        <v>479</v>
      </c>
      <c r="F193" s="5"/>
      <c r="G193" s="5"/>
    </row>
    <row r="194" spans="2:9" ht="12.75">
      <c r="B194" t="s">
        <v>480</v>
      </c>
      <c r="F194" s="5">
        <v>991942</v>
      </c>
      <c r="G194" s="5">
        <v>975423</v>
      </c>
      <c r="H194" s="42">
        <f>G194/F194</f>
        <v>0.9833468085835664</v>
      </c>
      <c r="I194" s="63">
        <f>G194/G$229</f>
        <v>0.0479392953620538</v>
      </c>
    </row>
    <row r="195" spans="2:9" ht="12.75">
      <c r="B195" t="s">
        <v>481</v>
      </c>
      <c r="F195" s="5">
        <v>1400</v>
      </c>
      <c r="G195" s="5">
        <v>1400</v>
      </c>
      <c r="H195" s="42">
        <f>G195/F195</f>
        <v>1</v>
      </c>
      <c r="I195" s="63">
        <f>G195/G$229</f>
        <v>6.880606004459124E-05</v>
      </c>
    </row>
    <row r="196" spans="2:9" ht="12.75">
      <c r="B196" t="s">
        <v>482</v>
      </c>
      <c r="F196" s="5">
        <v>11600</v>
      </c>
      <c r="G196" s="5">
        <v>11472</v>
      </c>
      <c r="H196" s="42">
        <f>G196/F196</f>
        <v>0.9889655172413793</v>
      </c>
      <c r="I196" s="63">
        <f>G196/G$229</f>
        <v>0.0005638165148796791</v>
      </c>
    </row>
    <row r="197" spans="2:7" ht="12.75">
      <c r="B197" t="s">
        <v>483</v>
      </c>
      <c r="F197" s="5"/>
      <c r="G197" s="5"/>
    </row>
    <row r="198" spans="2:9" ht="12.75">
      <c r="B198" t="s">
        <v>185</v>
      </c>
      <c r="F198" s="5">
        <v>126742</v>
      </c>
      <c r="G198" s="5">
        <v>126742</v>
      </c>
      <c r="H198" s="42">
        <f>G198/F198</f>
        <v>1</v>
      </c>
      <c r="I198" s="63">
        <f aca="true" t="shared" si="8" ref="I198:I203">G198/G$229</f>
        <v>0.006229012615836845</v>
      </c>
    </row>
    <row r="199" spans="2:9" ht="12.75">
      <c r="B199" t="s">
        <v>484</v>
      </c>
      <c r="F199" s="5">
        <v>120000</v>
      </c>
      <c r="G199" s="5">
        <v>108160</v>
      </c>
      <c r="H199" s="42">
        <f>G199/F199</f>
        <v>0.9013333333333333</v>
      </c>
      <c r="I199" s="63">
        <f t="shared" si="8"/>
        <v>0.005315759610302135</v>
      </c>
    </row>
    <row r="200" spans="2:9" ht="12.75">
      <c r="B200" t="s">
        <v>485</v>
      </c>
      <c r="F200" s="5">
        <v>106186</v>
      </c>
      <c r="G200" s="5">
        <v>106186</v>
      </c>
      <c r="H200" s="42">
        <f>G200/F200</f>
        <v>1</v>
      </c>
      <c r="I200" s="63">
        <f t="shared" si="8"/>
        <v>0.005218743065639261</v>
      </c>
    </row>
    <row r="201" spans="2:9" ht="12.75">
      <c r="B201" t="s">
        <v>486</v>
      </c>
      <c r="F201" s="5">
        <v>7500</v>
      </c>
      <c r="G201" s="5">
        <v>12863</v>
      </c>
      <c r="H201" s="42">
        <f>G201/F201</f>
        <v>1.7150666666666667</v>
      </c>
      <c r="I201" s="63">
        <f t="shared" si="8"/>
        <v>0.0006321802502525551</v>
      </c>
    </row>
    <row r="202" spans="2:9" ht="12.75">
      <c r="B202" t="s">
        <v>487</v>
      </c>
      <c r="F202" s="5">
        <v>57000</v>
      </c>
      <c r="G202" s="5">
        <v>57000</v>
      </c>
      <c r="H202" s="42">
        <f>G202/F202</f>
        <v>1</v>
      </c>
      <c r="I202" s="63">
        <f t="shared" si="8"/>
        <v>0.002801389587529786</v>
      </c>
    </row>
    <row r="203" spans="2:9" ht="12.75">
      <c r="B203" t="s">
        <v>488</v>
      </c>
      <c r="F203" s="5">
        <v>0</v>
      </c>
      <c r="G203" s="5">
        <f>18+4090+335+1327</f>
        <v>5770</v>
      </c>
      <c r="I203" s="63">
        <f t="shared" si="8"/>
        <v>0.00028357926175520817</v>
      </c>
    </row>
    <row r="204" spans="6:7" ht="12.75">
      <c r="F204" s="5"/>
      <c r="G204" s="5"/>
    </row>
    <row r="205" spans="1:9" s="21" customFormat="1" ht="12.75">
      <c r="A205" s="21" t="s">
        <v>58</v>
      </c>
      <c r="B205" s="21" t="s">
        <v>199</v>
      </c>
      <c r="D205" s="22"/>
      <c r="F205" s="24"/>
      <c r="G205" s="24"/>
      <c r="H205" s="45"/>
      <c r="I205" s="61"/>
    </row>
    <row r="206" spans="2:9" s="20" customFormat="1" ht="12.75">
      <c r="B206" s="20" t="s">
        <v>127</v>
      </c>
      <c r="D206" s="27"/>
      <c r="F206" s="24">
        <f>F208+F213</f>
        <v>248507</v>
      </c>
      <c r="G206" s="24">
        <f>G208+G213</f>
        <v>247795</v>
      </c>
      <c r="H206" s="45">
        <f>G206/F206</f>
        <v>0.997134889560455</v>
      </c>
      <c r="I206" s="61">
        <f>G206/G$229</f>
        <v>0.012178426891963919</v>
      </c>
    </row>
    <row r="207" spans="2:7" ht="12.75">
      <c r="B207" t="s">
        <v>21</v>
      </c>
      <c r="F207" s="5"/>
      <c r="G207" s="5"/>
    </row>
    <row r="208" spans="2:9" ht="12.75">
      <c r="B208" t="s">
        <v>260</v>
      </c>
      <c r="F208" s="5">
        <f>SUM(F210:F212)</f>
        <v>214477</v>
      </c>
      <c r="G208" s="5">
        <f>SUM(G210:G212)</f>
        <v>214477</v>
      </c>
      <c r="H208" s="42">
        <f>G208/F208</f>
        <v>1</v>
      </c>
      <c r="I208" s="63">
        <f>G208/G$229</f>
        <v>0.01054094095727414</v>
      </c>
    </row>
    <row r="209" spans="2:7" ht="12.75">
      <c r="B209" t="s">
        <v>28</v>
      </c>
      <c r="F209" s="5"/>
      <c r="G209" s="5"/>
    </row>
    <row r="210" spans="2:9" ht="12.75">
      <c r="B210" t="s">
        <v>29</v>
      </c>
      <c r="F210" s="5">
        <f>109432+8500</f>
        <v>117932</v>
      </c>
      <c r="G210" s="5">
        <f>109433+8500</f>
        <v>117933</v>
      </c>
      <c r="H210" s="42">
        <f>G210/F210</f>
        <v>1.0000084794627413</v>
      </c>
      <c r="I210" s="63">
        <f>G210/G$229</f>
        <v>0.005796075056599128</v>
      </c>
    </row>
    <row r="211" spans="2:9" ht="12.75">
      <c r="B211" t="s">
        <v>30</v>
      </c>
      <c r="F211" s="5">
        <v>31885</v>
      </c>
      <c r="G211" s="5">
        <v>31885</v>
      </c>
      <c r="H211" s="42">
        <f>G211/F211</f>
        <v>1</v>
      </c>
      <c r="I211" s="63">
        <f>G211/G$229</f>
        <v>0.0015670580175155655</v>
      </c>
    </row>
    <row r="212" spans="2:9" ht="12.75">
      <c r="B212" t="s">
        <v>128</v>
      </c>
      <c r="F212" s="5">
        <f>57377+7283</f>
        <v>64660</v>
      </c>
      <c r="G212" s="5">
        <f>57377+7282</f>
        <v>64659</v>
      </c>
      <c r="H212" s="42">
        <f>G212/F212</f>
        <v>0.9999845344880915</v>
      </c>
      <c r="I212" s="63">
        <f>G212/G$229</f>
        <v>0.0031778078831594466</v>
      </c>
    </row>
    <row r="213" spans="2:9" ht="12.75">
      <c r="B213" t="s">
        <v>333</v>
      </c>
      <c r="F213" s="5">
        <v>34030</v>
      </c>
      <c r="G213" s="5">
        <v>33318</v>
      </c>
      <c r="H213" s="42">
        <f>G213/F213</f>
        <v>0.9790772847487511</v>
      </c>
      <c r="I213" s="63">
        <f>G213/G$229</f>
        <v>0.0016374859346897793</v>
      </c>
    </row>
    <row r="214" spans="6:7" ht="12.75">
      <c r="F214" s="5"/>
      <c r="G214" s="5"/>
    </row>
    <row r="215" spans="1:9" s="21" customFormat="1" ht="12.75">
      <c r="A215" s="21" t="s">
        <v>60</v>
      </c>
      <c r="B215" s="21" t="s">
        <v>61</v>
      </c>
      <c r="D215" s="22"/>
      <c r="F215" s="24"/>
      <c r="G215" s="24"/>
      <c r="H215" s="42"/>
      <c r="I215" s="63"/>
    </row>
    <row r="216" spans="2:9" s="21" customFormat="1" ht="12.75">
      <c r="B216" s="21" t="s">
        <v>62</v>
      </c>
      <c r="D216" s="22"/>
      <c r="F216" s="24">
        <f>F218</f>
        <v>2126</v>
      </c>
      <c r="G216" s="24">
        <f>G218</f>
        <v>2126</v>
      </c>
      <c r="H216" s="45">
        <f>G216/F216</f>
        <v>1</v>
      </c>
      <c r="I216" s="61">
        <f>G216/G$229</f>
        <v>0.00010448691689628641</v>
      </c>
    </row>
    <row r="217" spans="2:9" ht="12.75">
      <c r="B217" t="s">
        <v>334</v>
      </c>
      <c r="F217" s="4"/>
      <c r="G217" s="4"/>
      <c r="H217" s="45"/>
      <c r="I217" s="61"/>
    </row>
    <row r="218" spans="2:9" ht="12.75">
      <c r="B218" t="s">
        <v>335</v>
      </c>
      <c r="F218" s="25">
        <v>2126</v>
      </c>
      <c r="G218" s="25">
        <v>2126</v>
      </c>
      <c r="H218" s="42">
        <f>G218/F218</f>
        <v>1</v>
      </c>
      <c r="I218" s="63">
        <f>G218/G$229</f>
        <v>0.00010448691689628641</v>
      </c>
    </row>
    <row r="219" spans="6:7" ht="12.75">
      <c r="F219" s="25"/>
      <c r="G219" s="25"/>
    </row>
    <row r="220" spans="1:9" s="21" customFormat="1" ht="12.75">
      <c r="A220" s="21" t="s">
        <v>86</v>
      </c>
      <c r="B220" s="21" t="s">
        <v>489</v>
      </c>
      <c r="D220" s="22"/>
      <c r="F220" s="24">
        <f>F222</f>
        <v>5350</v>
      </c>
      <c r="G220" s="24">
        <f>G222</f>
        <v>5350</v>
      </c>
      <c r="H220" s="45">
        <f>G220/F220</f>
        <v>1</v>
      </c>
      <c r="I220" s="61">
        <f>G220/G$229</f>
        <v>0.0002629374437418308</v>
      </c>
    </row>
    <row r="221" spans="2:7" ht="12.75">
      <c r="B221" t="s">
        <v>490</v>
      </c>
      <c r="F221" s="25"/>
      <c r="G221" s="25"/>
    </row>
    <row r="222" spans="2:9" ht="12.75">
      <c r="B222" t="s">
        <v>491</v>
      </c>
      <c r="F222" s="25">
        <v>5350</v>
      </c>
      <c r="G222" s="25">
        <v>5350</v>
      </c>
      <c r="H222" s="42">
        <f>G222/F222</f>
        <v>1</v>
      </c>
      <c r="I222" s="63">
        <f>G222/G$229</f>
        <v>0.0002629374437418308</v>
      </c>
    </row>
    <row r="223" spans="6:7" ht="12.75">
      <c r="F223" s="5"/>
      <c r="G223" s="5"/>
    </row>
    <row r="224" spans="1:9" s="21" customFormat="1" ht="12.75">
      <c r="A224" s="21" t="s">
        <v>85</v>
      </c>
      <c r="B224" s="21" t="s">
        <v>226</v>
      </c>
      <c r="D224" s="22"/>
      <c r="F224" s="24">
        <f>SUM(F227:F227)</f>
        <v>6850</v>
      </c>
      <c r="G224" s="24">
        <f>SUM(G227:G227)</f>
        <v>13000</v>
      </c>
      <c r="H224" s="45">
        <f>G224/F224</f>
        <v>1.897810218978102</v>
      </c>
      <c r="I224" s="61">
        <f>G224/G$229</f>
        <v>0.0006389134146997758</v>
      </c>
    </row>
    <row r="225" spans="2:9" s="20" customFormat="1" ht="12.75">
      <c r="B225" s="20" t="s">
        <v>336</v>
      </c>
      <c r="D225" s="27"/>
      <c r="F225" s="25"/>
      <c r="G225" s="25"/>
      <c r="H225" s="42"/>
      <c r="I225" s="63"/>
    </row>
    <row r="226" spans="2:4" s="20" customFormat="1" ht="12.75">
      <c r="B226" s="20" t="s">
        <v>337</v>
      </c>
      <c r="D226" s="27"/>
    </row>
    <row r="227" spans="2:9" s="20" customFormat="1" ht="12.75">
      <c r="B227" s="20" t="s">
        <v>492</v>
      </c>
      <c r="D227" s="27"/>
      <c r="F227" s="25">
        <v>6850</v>
      </c>
      <c r="G227" s="25">
        <v>13000</v>
      </c>
      <c r="H227" s="42">
        <f>G227/F227</f>
        <v>1.897810218978102</v>
      </c>
      <c r="I227" s="63">
        <f>G227/G$229</f>
        <v>0.0006389134146997758</v>
      </c>
    </row>
    <row r="228" spans="6:7" ht="12.75">
      <c r="F228" s="5"/>
      <c r="G228" s="5"/>
    </row>
    <row r="229" spans="2:9" s="1" customFormat="1" ht="15">
      <c r="B229" s="1" t="s">
        <v>25</v>
      </c>
      <c r="D229" s="15"/>
      <c r="F229" s="4">
        <f>F224+F220+F216+F206+F191+F161+F154+F135+F130+F127+F121+F106+F99+F48+F45+F35++F187</f>
        <v>17881690</v>
      </c>
      <c r="G229" s="4">
        <f>G224+G220+G216+G206+G191+G161+G154+G135+G130+G127+G121+G106+G99+G48+G45+G35++G187</f>
        <v>20347045</v>
      </c>
      <c r="H229" s="45">
        <f>G229/F229</f>
        <v>1.1378703578912284</v>
      </c>
      <c r="I229" s="61">
        <f>G229/G$229</f>
        <v>1</v>
      </c>
    </row>
    <row r="230" spans="4:9" s="1" customFormat="1" ht="15">
      <c r="D230" s="15"/>
      <c r="F230" s="4"/>
      <c r="G230" s="4"/>
      <c r="H230" s="37"/>
      <c r="I230" s="63"/>
    </row>
    <row r="231" spans="4:9" s="1" customFormat="1" ht="15">
      <c r="D231" s="15"/>
      <c r="F231" s="4"/>
      <c r="G231" s="4"/>
      <c r="H231" s="37"/>
      <c r="I231" s="63"/>
    </row>
    <row r="232" spans="4:9" s="1" customFormat="1" ht="15">
      <c r="D232" s="15"/>
      <c r="F232" s="4"/>
      <c r="G232" s="4"/>
      <c r="H232" s="37"/>
      <c r="I232" s="63"/>
    </row>
    <row r="233" spans="1:8" ht="14.25">
      <c r="A233" s="2" t="s">
        <v>26</v>
      </c>
      <c r="F233" s="5"/>
      <c r="G233" s="5"/>
      <c r="H233" s="37"/>
    </row>
    <row r="234" spans="6:8" ht="12.75">
      <c r="F234" s="5"/>
      <c r="G234" s="5"/>
      <c r="H234" s="37"/>
    </row>
    <row r="235" spans="1:9" s="14" customFormat="1" ht="15">
      <c r="A235" s="7" t="s">
        <v>65</v>
      </c>
      <c r="B235" s="7"/>
      <c r="C235" s="7"/>
      <c r="D235" s="16"/>
      <c r="E235" s="7"/>
      <c r="F235" s="12">
        <f>F237+F240+F246+F260+F267+F287+F294+F297+F304+F308+F311+F458+F464+F485+F497+F516+F522</f>
        <v>16450076</v>
      </c>
      <c r="G235" s="12">
        <f>G237+G240+G246+G260+G267+G287+G294+G297+G304+G308+G311+G458+G464+G485+G497+G516+G522</f>
        <v>15366608</v>
      </c>
      <c r="H235" s="47">
        <f>G235/F235</f>
        <v>0.9341359881863159</v>
      </c>
      <c r="I235" s="64">
        <f>G235/G$613</f>
        <v>0.9131995013555122</v>
      </c>
    </row>
    <row r="236" spans="1:9" ht="12.75">
      <c r="A236" s="3" t="s">
        <v>21</v>
      </c>
      <c r="F236" s="5"/>
      <c r="G236" s="5"/>
      <c r="I236" s="60"/>
    </row>
    <row r="237" spans="1:9" s="21" customFormat="1" ht="12.75">
      <c r="A237" s="21" t="s">
        <v>105</v>
      </c>
      <c r="B237" s="21" t="s">
        <v>36</v>
      </c>
      <c r="D237" s="22"/>
      <c r="F237" s="24">
        <f>SUM(F238)</f>
        <v>870</v>
      </c>
      <c r="G237" s="24">
        <f>SUM(G238)</f>
        <v>101</v>
      </c>
      <c r="H237" s="45">
        <f>G237/F237</f>
        <v>0.11609195402298851</v>
      </c>
      <c r="I237" s="65">
        <f>G237/G$613</f>
        <v>6.002180158230543E-06</v>
      </c>
    </row>
    <row r="238" spans="1:9" ht="12.75">
      <c r="A238" s="3"/>
      <c r="B238" t="s">
        <v>129</v>
      </c>
      <c r="F238" s="5">
        <v>870</v>
      </c>
      <c r="G238" s="5">
        <v>101</v>
      </c>
      <c r="H238" s="42">
        <f>G238/F238</f>
        <v>0.11609195402298851</v>
      </c>
      <c r="I238" s="60">
        <f>G238/G$613</f>
        <v>6.002180158230543E-06</v>
      </c>
    </row>
    <row r="239" spans="1:9" ht="12.75">
      <c r="A239" s="3"/>
      <c r="F239" s="5"/>
      <c r="G239" s="5"/>
      <c r="I239" s="60"/>
    </row>
    <row r="240" spans="1:9" s="3" customFormat="1" ht="12.75">
      <c r="A240" s="3" t="s">
        <v>63</v>
      </c>
      <c r="B240" s="3" t="s">
        <v>64</v>
      </c>
      <c r="D240" s="10"/>
      <c r="F240" s="4">
        <f>SUM(F241:F244)</f>
        <v>420251</v>
      </c>
      <c r="G240" s="4">
        <f>SUM(G241:G244)</f>
        <v>310603</v>
      </c>
      <c r="H240" s="45">
        <f>G240/F240</f>
        <v>0.739089258562145</v>
      </c>
      <c r="I240" s="65">
        <f>G240/G$613</f>
        <v>0.018458367957295854</v>
      </c>
    </row>
    <row r="241" spans="2:9" s="3" customFormat="1" ht="12.75">
      <c r="B241" t="s">
        <v>130</v>
      </c>
      <c r="D241" s="10"/>
      <c r="F241" s="25">
        <v>28200</v>
      </c>
      <c r="G241" s="25">
        <v>28200</v>
      </c>
      <c r="H241" s="42">
        <f>G241/F241</f>
        <v>1</v>
      </c>
      <c r="I241" s="60">
        <f>G241/G$613</f>
        <v>0.0016758562421990229</v>
      </c>
    </row>
    <row r="242" spans="2:9" ht="12.75">
      <c r="B242" t="s">
        <v>131</v>
      </c>
      <c r="F242" s="11">
        <f>2437852-2145801</f>
        <v>292051</v>
      </c>
      <c r="G242" s="11">
        <f>518745-236342</f>
        <v>282403</v>
      </c>
      <c r="H242" s="42">
        <f>G242/F242</f>
        <v>0.9669646739781751</v>
      </c>
      <c r="I242" s="60">
        <f>G242/G$613</f>
        <v>0.016782511715096832</v>
      </c>
    </row>
    <row r="243" spans="2:9" ht="12.75">
      <c r="B243" t="s">
        <v>338</v>
      </c>
      <c r="F243" s="11"/>
      <c r="G243" s="11"/>
      <c r="I243" s="60"/>
    </row>
    <row r="244" spans="2:9" ht="12.75">
      <c r="B244" t="s">
        <v>339</v>
      </c>
      <c r="F244" s="11">
        <v>100000</v>
      </c>
      <c r="G244" s="11">
        <v>0</v>
      </c>
      <c r="H244" s="42">
        <f>G244/F244</f>
        <v>0</v>
      </c>
      <c r="I244" s="60">
        <f>G244/G$613</f>
        <v>0</v>
      </c>
    </row>
    <row r="245" spans="6:9" ht="12.75">
      <c r="F245" s="11"/>
      <c r="G245" s="11"/>
      <c r="I245" s="60"/>
    </row>
    <row r="246" spans="1:9" s="3" customFormat="1" ht="14.25" customHeight="1">
      <c r="A246" s="3" t="s">
        <v>39</v>
      </c>
      <c r="B246" s="3" t="s">
        <v>40</v>
      </c>
      <c r="D246" s="10"/>
      <c r="F246" s="4">
        <f>SUM(F248:F258)</f>
        <v>326291</v>
      </c>
      <c r="G246" s="4">
        <f>SUM(G248:G258)</f>
        <v>215906</v>
      </c>
      <c r="H246" s="45">
        <f>G246/F246</f>
        <v>0.6616976870339666</v>
      </c>
      <c r="I246" s="65">
        <f>G246/G$613</f>
        <v>0.01283075949745469</v>
      </c>
    </row>
    <row r="247" spans="2:9" ht="12.75">
      <c r="B247" t="s">
        <v>196</v>
      </c>
      <c r="F247" s="5"/>
      <c r="G247" s="5"/>
      <c r="I247" s="60"/>
    </row>
    <row r="248" spans="2:9" ht="12.75">
      <c r="B248" t="s">
        <v>66</v>
      </c>
      <c r="F248" s="5">
        <v>111400</v>
      </c>
      <c r="G248" s="5">
        <v>61889</v>
      </c>
      <c r="H248" s="42">
        <f>G248/F248</f>
        <v>0.555556552962298</v>
      </c>
      <c r="I248" s="60">
        <f>G248/G$613</f>
        <v>0.003677910176363664</v>
      </c>
    </row>
    <row r="249" spans="2:9" ht="12.75">
      <c r="B249" t="s">
        <v>493</v>
      </c>
      <c r="F249" s="5"/>
      <c r="G249" s="5"/>
      <c r="I249" s="60"/>
    </row>
    <row r="250" ht="12.75">
      <c r="B250" t="s">
        <v>494</v>
      </c>
    </row>
    <row r="251" spans="2:9" ht="12.75">
      <c r="B251" t="s">
        <v>495</v>
      </c>
      <c r="F251" s="5">
        <v>103319</v>
      </c>
      <c r="G251" s="5">
        <v>78115</v>
      </c>
      <c r="H251" s="42">
        <f>G251/F251</f>
        <v>0.7560564852544063</v>
      </c>
      <c r="I251" s="60">
        <f>G251/G$613</f>
        <v>0.0046421812184176126</v>
      </c>
    </row>
    <row r="252" spans="2:9" ht="12.75">
      <c r="B252" t="s">
        <v>496</v>
      </c>
      <c r="F252" s="5"/>
      <c r="G252" s="5"/>
      <c r="I252" s="60"/>
    </row>
    <row r="253" spans="2:9" ht="12.75">
      <c r="B253" t="s">
        <v>497</v>
      </c>
      <c r="F253" s="5">
        <v>70000</v>
      </c>
      <c r="G253" s="5">
        <v>35933</v>
      </c>
      <c r="H253" s="42">
        <f>G253/F253</f>
        <v>0.5133285714285715</v>
      </c>
      <c r="I253" s="60">
        <f>G253/G$613</f>
        <v>0.0021354093032247335</v>
      </c>
    </row>
    <row r="254" spans="2:9" ht="12.75">
      <c r="B254" t="s">
        <v>340</v>
      </c>
      <c r="F254" s="5"/>
      <c r="G254" s="5"/>
      <c r="I254" s="60"/>
    </row>
    <row r="255" spans="2:9" ht="12.75">
      <c r="B255" s="48" t="s">
        <v>186</v>
      </c>
      <c r="F255" s="5">
        <f>2100+295+12000</f>
        <v>14395</v>
      </c>
      <c r="G255" s="5">
        <f>2068+294+11998</f>
        <v>14360</v>
      </c>
      <c r="H255" s="42">
        <f>G255/F255</f>
        <v>0.9975686002084057</v>
      </c>
      <c r="I255" s="60">
        <f>G255/G$613</f>
        <v>0.0008533792779424811</v>
      </c>
    </row>
    <row r="256" spans="2:9" ht="12.75">
      <c r="B256" s="48" t="s">
        <v>341</v>
      </c>
      <c r="F256" s="5">
        <v>19000</v>
      </c>
      <c r="G256" s="5">
        <v>17432</v>
      </c>
      <c r="H256" s="42">
        <f>G256/F256</f>
        <v>0.9174736842105263</v>
      </c>
      <c r="I256" s="60">
        <f>G256/G$613</f>
        <v>0.0010359406387948002</v>
      </c>
    </row>
    <row r="257" spans="2:9" ht="12.75">
      <c r="B257" s="48" t="s">
        <v>498</v>
      </c>
      <c r="F257" s="5">
        <v>1781</v>
      </c>
      <c r="G257" s="5">
        <v>1781</v>
      </c>
      <c r="H257" s="42">
        <f>G257/F257</f>
        <v>1</v>
      </c>
      <c r="I257" s="60">
        <f>G257/G$613</f>
        <v>0.00010584042437434254</v>
      </c>
    </row>
    <row r="258" spans="2:9" ht="12.75">
      <c r="B258" s="48" t="s">
        <v>580</v>
      </c>
      <c r="F258" s="5">
        <v>6396</v>
      </c>
      <c r="G258" s="5">
        <v>6396</v>
      </c>
      <c r="H258" s="42">
        <f>G258/F258</f>
        <v>1</v>
      </c>
      <c r="I258" s="60">
        <f>G258/G$613</f>
        <v>0.000380098458337055</v>
      </c>
    </row>
    <row r="259" spans="6:9" ht="12.75">
      <c r="F259" s="5"/>
      <c r="G259" s="5"/>
      <c r="I259" s="60"/>
    </row>
    <row r="260" spans="1:9" s="21" customFormat="1" ht="12.75">
      <c r="A260" s="21" t="s">
        <v>67</v>
      </c>
      <c r="B260" s="21" t="s">
        <v>68</v>
      </c>
      <c r="D260" s="22"/>
      <c r="F260" s="24">
        <f>SUM(F261:F265)</f>
        <v>342586</v>
      </c>
      <c r="G260" s="24">
        <f>SUM(G261:G265)</f>
        <v>122225</v>
      </c>
      <c r="H260" s="45">
        <f>G260/F260</f>
        <v>0.35677173031005355</v>
      </c>
      <c r="I260" s="65">
        <f>G260/G$613</f>
        <v>0.0072635294043537435</v>
      </c>
    </row>
    <row r="261" spans="2:9" ht="12.75">
      <c r="B261" t="s">
        <v>69</v>
      </c>
      <c r="F261" s="5">
        <v>285400</v>
      </c>
      <c r="G261" s="5">
        <v>84268</v>
      </c>
      <c r="H261" s="42">
        <f>G261/F261</f>
        <v>0.29526278906797476</v>
      </c>
      <c r="I261" s="60">
        <f>G261/G$613</f>
        <v>0.005007838787859123</v>
      </c>
    </row>
    <row r="262" spans="2:9" ht="12.75">
      <c r="B262" t="s">
        <v>211</v>
      </c>
      <c r="F262" s="5"/>
      <c r="G262" s="5"/>
      <c r="I262" s="60"/>
    </row>
    <row r="263" spans="2:9" ht="12.75">
      <c r="B263" t="s">
        <v>70</v>
      </c>
      <c r="F263" s="5"/>
      <c r="G263" s="5"/>
      <c r="I263" s="60"/>
    </row>
    <row r="264" spans="2:9" ht="12.75">
      <c r="B264" t="s">
        <v>71</v>
      </c>
      <c r="F264" s="5">
        <v>53186</v>
      </c>
      <c r="G264" s="5">
        <v>37957</v>
      </c>
      <c r="H264" s="42">
        <f>G264/F264</f>
        <v>0.7136652502538262</v>
      </c>
      <c r="I264" s="60">
        <f>G264/G$613</f>
        <v>0.002255690616494621</v>
      </c>
    </row>
    <row r="265" spans="2:9" ht="12.75">
      <c r="B265" t="s">
        <v>342</v>
      </c>
      <c r="F265" s="5">
        <v>4000</v>
      </c>
      <c r="G265" s="5">
        <v>0</v>
      </c>
      <c r="H265" s="42">
        <f>G265/F265</f>
        <v>0</v>
      </c>
      <c r="I265" s="60">
        <f>G265/G$613</f>
        <v>0</v>
      </c>
    </row>
    <row r="266" spans="6:9" ht="12.75">
      <c r="F266" s="5"/>
      <c r="G266" s="5"/>
      <c r="I266" s="60"/>
    </row>
    <row r="267" spans="1:9" s="3" customFormat="1" ht="12.75">
      <c r="A267" s="3" t="s">
        <v>47</v>
      </c>
      <c r="B267" s="3" t="s">
        <v>72</v>
      </c>
      <c r="D267" s="10"/>
      <c r="F267" s="4">
        <f>SUM(F268:F285)</f>
        <v>3389210</v>
      </c>
      <c r="G267" s="4">
        <f>SUM(G268:G285)</f>
        <v>3113352</v>
      </c>
      <c r="H267" s="45">
        <f aca="true" t="shared" si="9" ref="H267:H272">G267/F267</f>
        <v>0.9186069910097043</v>
      </c>
      <c r="I267" s="65">
        <f aca="true" t="shared" si="10" ref="I267:I272">G267/G$613</f>
        <v>0.1850188079206671</v>
      </c>
    </row>
    <row r="268" spans="2:9" ht="12.75">
      <c r="B268" t="s">
        <v>33</v>
      </c>
      <c r="F268" s="5">
        <v>135541</v>
      </c>
      <c r="G268" s="5">
        <v>126339</v>
      </c>
      <c r="H268" s="42">
        <f t="shared" si="9"/>
        <v>0.9321091035184925</v>
      </c>
      <c r="I268" s="60">
        <f t="shared" si="10"/>
        <v>0.00750801424763058</v>
      </c>
    </row>
    <row r="269" spans="2:9" ht="12.75">
      <c r="B269" t="s">
        <v>212</v>
      </c>
      <c r="F269" s="5">
        <v>121550</v>
      </c>
      <c r="G269" s="5">
        <v>90565</v>
      </c>
      <c r="H269" s="42">
        <f t="shared" si="9"/>
        <v>0.7450843274372686</v>
      </c>
      <c r="I269" s="60">
        <f t="shared" si="10"/>
        <v>0.005382053921090585</v>
      </c>
    </row>
    <row r="270" spans="2:9" ht="12.75">
      <c r="B270" t="s">
        <v>214</v>
      </c>
      <c r="F270" s="5">
        <f>2986921-38478-100436</f>
        <v>2848007</v>
      </c>
      <c r="G270" s="5">
        <f>2762498-38444-94156</f>
        <v>2629898</v>
      </c>
      <c r="H270" s="42">
        <f t="shared" si="9"/>
        <v>0.9234169719386224</v>
      </c>
      <c r="I270" s="60">
        <f t="shared" si="10"/>
        <v>0.15628833261158603</v>
      </c>
    </row>
    <row r="271" spans="2:9" ht="12.75">
      <c r="B271" t="s">
        <v>213</v>
      </c>
      <c r="F271" s="5">
        <v>500</v>
      </c>
      <c r="G271" s="5">
        <v>237</v>
      </c>
      <c r="H271" s="42">
        <f t="shared" si="9"/>
        <v>0.474</v>
      </c>
      <c r="I271" s="60">
        <f t="shared" si="10"/>
        <v>1.4084323737630087E-05</v>
      </c>
    </row>
    <row r="272" spans="2:9" ht="12.75">
      <c r="B272" t="s">
        <v>215</v>
      </c>
      <c r="F272" s="5">
        <v>121000</v>
      </c>
      <c r="G272" s="5">
        <v>121000</v>
      </c>
      <c r="H272" s="42">
        <f t="shared" si="9"/>
        <v>1</v>
      </c>
      <c r="I272" s="60">
        <f t="shared" si="10"/>
        <v>0.0071907306846128284</v>
      </c>
    </row>
    <row r="273" spans="2:9" ht="12.75">
      <c r="B273" t="s">
        <v>343</v>
      </c>
      <c r="F273" s="5"/>
      <c r="G273" s="5"/>
      <c r="I273" s="60"/>
    </row>
    <row r="274" spans="2:9" ht="12.75">
      <c r="B274" t="s">
        <v>344</v>
      </c>
      <c r="F274" s="5"/>
      <c r="G274" s="5"/>
      <c r="I274" s="60"/>
    </row>
    <row r="275" spans="2:9" ht="12.75">
      <c r="B275" t="s">
        <v>345</v>
      </c>
      <c r="F275" s="5">
        <v>7500</v>
      </c>
      <c r="G275" s="5">
        <v>7500</v>
      </c>
      <c r="H275" s="42">
        <f>G275/F275</f>
        <v>1</v>
      </c>
      <c r="I275" s="60">
        <f>G275/G$613</f>
        <v>0.00044570644739335715</v>
      </c>
    </row>
    <row r="276" spans="2:9" ht="12.75">
      <c r="B276" t="s">
        <v>346</v>
      </c>
      <c r="F276" s="5">
        <f>83490+7150+1920</f>
        <v>92560</v>
      </c>
      <c r="G276" s="5">
        <f>80017+3883+553</f>
        <v>84453</v>
      </c>
      <c r="H276" s="42">
        <f>G276/F276</f>
        <v>0.9124135695764909</v>
      </c>
      <c r="I276" s="60">
        <f>G276/G$613</f>
        <v>0.005018832880228159</v>
      </c>
    </row>
    <row r="277" spans="6:9" ht="12.75">
      <c r="F277" s="5"/>
      <c r="G277" s="5"/>
      <c r="I277" s="60"/>
    </row>
    <row r="278" spans="6:9" ht="12.75">
      <c r="F278" s="5"/>
      <c r="G278" s="5"/>
      <c r="I278" s="60"/>
    </row>
    <row r="279" spans="2:9" ht="12.75">
      <c r="B279" t="s">
        <v>582</v>
      </c>
      <c r="F279" s="5"/>
      <c r="G279" s="5"/>
      <c r="I279" s="60"/>
    </row>
    <row r="280" spans="2:9" ht="12.75">
      <c r="B280" t="s">
        <v>586</v>
      </c>
      <c r="F280" s="5">
        <v>3000</v>
      </c>
      <c r="G280" s="5">
        <v>3000</v>
      </c>
      <c r="H280" s="42">
        <f aca="true" t="shared" si="11" ref="H280:H285">G280/F280</f>
        <v>1</v>
      </c>
      <c r="I280" s="60">
        <f aca="true" t="shared" si="12" ref="I280:I285">G280/G$613</f>
        <v>0.00017828257895734285</v>
      </c>
    </row>
    <row r="281" spans="2:9" ht="12.75">
      <c r="B281" t="s">
        <v>585</v>
      </c>
      <c r="F281" s="5">
        <v>3905</v>
      </c>
      <c r="G281" s="5">
        <v>3904</v>
      </c>
      <c r="H281" s="42">
        <f t="shared" si="11"/>
        <v>0.9997439180537772</v>
      </c>
      <c r="I281" s="60">
        <f t="shared" si="12"/>
        <v>0.00023200506274982218</v>
      </c>
    </row>
    <row r="282" spans="2:9" ht="12.75">
      <c r="B282" t="s">
        <v>584</v>
      </c>
      <c r="F282" s="5">
        <v>1000</v>
      </c>
      <c r="G282" s="5">
        <v>1000</v>
      </c>
      <c r="H282" s="42">
        <f t="shared" si="11"/>
        <v>1</v>
      </c>
      <c r="I282" s="60">
        <f t="shared" si="12"/>
        <v>5.942752631911429E-05</v>
      </c>
    </row>
    <row r="283" spans="2:9" ht="12.75">
      <c r="B283" t="s">
        <v>583</v>
      </c>
      <c r="F283" s="5">
        <v>198</v>
      </c>
      <c r="G283" s="5">
        <v>177</v>
      </c>
      <c r="H283" s="42">
        <f t="shared" si="11"/>
        <v>0.8939393939393939</v>
      </c>
      <c r="I283" s="60">
        <f t="shared" si="12"/>
        <v>1.0518672158483229E-05</v>
      </c>
    </row>
    <row r="284" spans="2:9" ht="12.75">
      <c r="B284" t="s">
        <v>581</v>
      </c>
      <c r="F284" s="5">
        <f>45600+8000+117</f>
        <v>53717</v>
      </c>
      <c r="G284" s="5">
        <f>38673+5757+117</f>
        <v>44547</v>
      </c>
      <c r="H284" s="42">
        <f t="shared" si="11"/>
        <v>0.8292905411694622</v>
      </c>
      <c r="I284" s="60">
        <f t="shared" si="12"/>
        <v>0.0026473180149375842</v>
      </c>
    </row>
    <row r="285" spans="2:9" ht="12.75">
      <c r="B285" t="s">
        <v>347</v>
      </c>
      <c r="F285" s="5">
        <v>732</v>
      </c>
      <c r="G285" s="5">
        <v>732</v>
      </c>
      <c r="H285" s="42">
        <f t="shared" si="11"/>
        <v>1</v>
      </c>
      <c r="I285" s="60">
        <f t="shared" si="12"/>
        <v>4.3500949265591656E-05</v>
      </c>
    </row>
    <row r="286" spans="6:9" ht="12.75">
      <c r="F286" s="5"/>
      <c r="G286" s="5"/>
      <c r="I286" s="60"/>
    </row>
    <row r="287" spans="1:9" s="3" customFormat="1" ht="12.75">
      <c r="A287" s="3" t="s">
        <v>49</v>
      </c>
      <c r="B287" s="3" t="s">
        <v>73</v>
      </c>
      <c r="D287" s="10"/>
      <c r="F287" s="4">
        <f>SUM(F288:F292)</f>
        <v>42915</v>
      </c>
      <c r="G287" s="4">
        <f>SUM(G288:G292)</f>
        <v>39441</v>
      </c>
      <c r="H287" s="45">
        <f aca="true" t="shared" si="13" ref="H287:H292">G287/F287</f>
        <v>0.9190492834673191</v>
      </c>
      <c r="I287" s="65">
        <f aca="true" t="shared" si="14" ref="I287:I292">G287/G$613</f>
        <v>0.0023438810655521864</v>
      </c>
    </row>
    <row r="288" spans="2:9" ht="12.75">
      <c r="B288" t="s">
        <v>201</v>
      </c>
      <c r="F288" s="5">
        <v>1100</v>
      </c>
      <c r="G288" s="5">
        <v>1100</v>
      </c>
      <c r="H288" s="42">
        <f t="shared" si="13"/>
        <v>1</v>
      </c>
      <c r="I288" s="60">
        <f t="shared" si="14"/>
        <v>6.537027895102571E-05</v>
      </c>
    </row>
    <row r="289" spans="2:9" ht="12.75">
      <c r="B289" t="s">
        <v>499</v>
      </c>
      <c r="F289" s="5">
        <v>14970</v>
      </c>
      <c r="G289" s="5">
        <v>14970</v>
      </c>
      <c r="H289" s="42">
        <f t="shared" si="13"/>
        <v>1</v>
      </c>
      <c r="I289" s="60">
        <f t="shared" si="14"/>
        <v>0.0008896300689971409</v>
      </c>
    </row>
    <row r="290" spans="2:9" ht="12.75">
      <c r="B290" t="s">
        <v>500</v>
      </c>
      <c r="F290" s="5">
        <v>9245</v>
      </c>
      <c r="G290" s="5">
        <v>9245</v>
      </c>
      <c r="H290" s="42">
        <f t="shared" si="13"/>
        <v>1</v>
      </c>
      <c r="I290" s="60">
        <f t="shared" si="14"/>
        <v>0.0005494074808202116</v>
      </c>
    </row>
    <row r="291" spans="2:9" ht="12.75">
      <c r="B291" t="s">
        <v>502</v>
      </c>
      <c r="F291" s="5">
        <v>5600</v>
      </c>
      <c r="G291" s="5">
        <v>5168</v>
      </c>
      <c r="H291" s="42">
        <f t="shared" si="13"/>
        <v>0.9228571428571428</v>
      </c>
      <c r="I291" s="60">
        <f t="shared" si="14"/>
        <v>0.00030712145601718266</v>
      </c>
    </row>
    <row r="292" spans="2:9" ht="12.75">
      <c r="B292" t="s">
        <v>501</v>
      </c>
      <c r="F292" s="5">
        <f>17600-F291</f>
        <v>12000</v>
      </c>
      <c r="G292" s="5">
        <v>8958</v>
      </c>
      <c r="H292" s="42">
        <f t="shared" si="13"/>
        <v>0.7465</v>
      </c>
      <c r="I292" s="60">
        <f t="shared" si="14"/>
        <v>0.0005323517807666257</v>
      </c>
    </row>
    <row r="293" spans="6:9" ht="12.75">
      <c r="F293" s="5"/>
      <c r="G293" s="5"/>
      <c r="I293" s="60"/>
    </row>
    <row r="294" spans="1:9" s="21" customFormat="1" ht="12.75">
      <c r="A294" s="21" t="s">
        <v>326</v>
      </c>
      <c r="B294" s="21" t="s">
        <v>8</v>
      </c>
      <c r="D294" s="22"/>
      <c r="F294" s="24">
        <f>F295</f>
        <v>500</v>
      </c>
      <c r="G294" s="24">
        <f>G295</f>
        <v>0</v>
      </c>
      <c r="H294" s="45">
        <f>G294/F294</f>
        <v>0</v>
      </c>
      <c r="I294" s="65">
        <f>G294/G$613</f>
        <v>0</v>
      </c>
    </row>
    <row r="295" spans="2:9" ht="12.75">
      <c r="B295" t="s">
        <v>9</v>
      </c>
      <c r="F295" s="5">
        <v>500</v>
      </c>
      <c r="G295" s="5">
        <v>0</v>
      </c>
      <c r="H295" s="42">
        <f>G295/F295</f>
        <v>0</v>
      </c>
      <c r="I295" s="60">
        <f>G295/G$613</f>
        <v>0</v>
      </c>
    </row>
    <row r="296" spans="6:9" ht="12.75">
      <c r="F296" s="5"/>
      <c r="G296" s="5"/>
      <c r="I296" s="60"/>
    </row>
    <row r="297" spans="1:9" s="21" customFormat="1" ht="12.75">
      <c r="A297" s="21" t="s">
        <v>51</v>
      </c>
      <c r="B297" s="26" t="s">
        <v>74</v>
      </c>
      <c r="D297" s="22"/>
      <c r="F297" s="24">
        <f>SUM(F298:F302)</f>
        <v>378289</v>
      </c>
      <c r="G297" s="24">
        <f>SUM(G298:G302)</f>
        <v>363293</v>
      </c>
      <c r="H297" s="45">
        <f>G297/F297</f>
        <v>0.9603583503617604</v>
      </c>
      <c r="I297" s="65">
        <f>G297/G$613</f>
        <v>0.021589604319049986</v>
      </c>
    </row>
    <row r="298" spans="2:9" ht="12.75">
      <c r="B298" t="s">
        <v>348</v>
      </c>
      <c r="F298" s="5"/>
      <c r="G298" s="5"/>
      <c r="I298" s="60"/>
    </row>
    <row r="299" spans="2:9" ht="12.75">
      <c r="B299" t="s">
        <v>349</v>
      </c>
      <c r="F299" s="5">
        <v>25000</v>
      </c>
      <c r="G299" s="5">
        <v>25000</v>
      </c>
      <c r="H299" s="42">
        <f>G299/F299</f>
        <v>1</v>
      </c>
      <c r="I299" s="60">
        <f>G299/G$613</f>
        <v>0.0014856881579778571</v>
      </c>
    </row>
    <row r="300" spans="2:9" ht="12.75">
      <c r="B300" t="s">
        <v>587</v>
      </c>
      <c r="F300" s="5">
        <v>57656</v>
      </c>
      <c r="G300" s="5">
        <v>48882</v>
      </c>
      <c r="H300" s="42">
        <f>G300/F300</f>
        <v>0.8478215623699181</v>
      </c>
      <c r="I300" s="60">
        <f>G300/G$613</f>
        <v>0.0029049363415309445</v>
      </c>
    </row>
    <row r="301" spans="2:9" ht="12.75">
      <c r="B301" t="s">
        <v>588</v>
      </c>
      <c r="F301" s="5">
        <v>3650</v>
      </c>
      <c r="G301" s="5">
        <v>3277</v>
      </c>
      <c r="H301" s="42">
        <f>G301/F301</f>
        <v>0.8978082191780822</v>
      </c>
      <c r="I301" s="60">
        <f>G301/G$613</f>
        <v>0.00019474400374773753</v>
      </c>
    </row>
    <row r="302" spans="2:9" ht="12.75">
      <c r="B302" t="s">
        <v>589</v>
      </c>
      <c r="F302" s="5">
        <v>291983</v>
      </c>
      <c r="G302" s="5">
        <v>286134</v>
      </c>
      <c r="H302" s="42">
        <f>G302/F302</f>
        <v>0.9799680118363056</v>
      </c>
      <c r="I302" s="60">
        <f>G302/G$613</f>
        <v>0.017004235815793446</v>
      </c>
    </row>
    <row r="303" spans="6:9" ht="12.75">
      <c r="F303" s="5"/>
      <c r="G303" s="5"/>
      <c r="I303" s="60"/>
    </row>
    <row r="304" spans="1:9" s="21" customFormat="1" ht="12.75">
      <c r="A304" s="21" t="s">
        <v>75</v>
      </c>
      <c r="B304" s="21" t="s">
        <v>76</v>
      </c>
      <c r="D304" s="22"/>
      <c r="F304" s="24">
        <f>SUM(F305:F306)</f>
        <v>272743</v>
      </c>
      <c r="G304" s="24">
        <f>SUM(G305:G306)</f>
        <v>261819</v>
      </c>
      <c r="H304" s="45">
        <f>G304/F304</f>
        <v>0.9599476430192525</v>
      </c>
      <c r="I304" s="65">
        <f>G304/G$613</f>
        <v>0.015559255513344184</v>
      </c>
    </row>
    <row r="305" spans="2:9" ht="12.75">
      <c r="B305" t="s">
        <v>132</v>
      </c>
      <c r="F305" s="5">
        <v>2100</v>
      </c>
      <c r="G305" s="5">
        <v>2055</v>
      </c>
      <c r="H305" s="42">
        <f>G305/F305</f>
        <v>0.9785714285714285</v>
      </c>
      <c r="I305" s="60">
        <f>G305/G$613</f>
        <v>0.00012212356658577986</v>
      </c>
    </row>
    <row r="306" spans="2:9" ht="12.75">
      <c r="B306" t="s">
        <v>77</v>
      </c>
      <c r="F306" s="5">
        <v>270643</v>
      </c>
      <c r="G306" s="5">
        <v>259764</v>
      </c>
      <c r="H306" s="42">
        <f>G306/F306</f>
        <v>0.9598031354958377</v>
      </c>
      <c r="I306" s="60">
        <f>G306/G$613</f>
        <v>0.015437131946758404</v>
      </c>
    </row>
    <row r="307" spans="6:9" ht="12.75">
      <c r="F307" s="5"/>
      <c r="G307" s="5"/>
      <c r="I307" s="60"/>
    </row>
    <row r="308" spans="1:9" s="21" customFormat="1" ht="12.75">
      <c r="A308" s="21" t="s">
        <v>56</v>
      </c>
      <c r="B308" s="21" t="s">
        <v>78</v>
      </c>
      <c r="D308" s="22"/>
      <c r="F308" s="24">
        <f>SUM(F309:F309)</f>
        <v>31567</v>
      </c>
      <c r="G308" s="24">
        <f>SUM(G309:G309)</f>
        <v>0</v>
      </c>
      <c r="H308" s="45">
        <f>G308/F308</f>
        <v>0</v>
      </c>
      <c r="I308" s="65">
        <f>G308/G$613</f>
        <v>0</v>
      </c>
    </row>
    <row r="309" spans="2:9" ht="12.75">
      <c r="B309" t="s">
        <v>503</v>
      </c>
      <c r="F309" s="5">
        <v>31567</v>
      </c>
      <c r="G309" s="5">
        <v>0</v>
      </c>
      <c r="H309" s="42">
        <f>G309/F309</f>
        <v>0</v>
      </c>
      <c r="I309" s="60">
        <f>G309/G$613</f>
        <v>0</v>
      </c>
    </row>
    <row r="310" spans="6:9" ht="12.75">
      <c r="F310" s="5"/>
      <c r="G310" s="5"/>
      <c r="I310" s="60"/>
    </row>
    <row r="311" spans="1:9" s="3" customFormat="1" ht="12.75">
      <c r="A311" s="3" t="s">
        <v>57</v>
      </c>
      <c r="B311" s="3" t="s">
        <v>12</v>
      </c>
      <c r="D311" s="10"/>
      <c r="F311" s="4">
        <f>F312+F346+F379+F400+F444+F446+F448+F451+F454+F456+F377</f>
        <v>6055300</v>
      </c>
      <c r="G311" s="4">
        <f>G312+G346+G379+G400+G444+G446+G448+G451+G454+G456+G377</f>
        <v>5968072</v>
      </c>
      <c r="H311" s="45">
        <f>G311/F311</f>
        <v>0.9855947682195763</v>
      </c>
      <c r="I311" s="65">
        <f>G311/G$613</f>
        <v>0.35466775585436905</v>
      </c>
    </row>
    <row r="312" spans="2:9" s="39" customFormat="1" ht="12.75">
      <c r="B312" s="39" t="s">
        <v>27</v>
      </c>
      <c r="D312" s="40"/>
      <c r="F312" s="41">
        <f>6000+619+1271225+98855+233832+31707+2140+235230+80000+12100+30500+36400+82730+2500+3200+71398</f>
        <v>2198436</v>
      </c>
      <c r="G312" s="41">
        <f>5216+619+1268290+98854+232738+31663+2140+234778+78549+11842+30098+31943+82718+1684+2265+71398</f>
        <v>2184795</v>
      </c>
      <c r="H312" s="44">
        <f>G312/F312</f>
        <v>0.9937951343591535</v>
      </c>
      <c r="I312" s="66">
        <f>G312/G$613</f>
        <v>0.1298369623643693</v>
      </c>
    </row>
    <row r="313" spans="2:9" s="8" customFormat="1" ht="12.75">
      <c r="B313" s="8" t="s">
        <v>133</v>
      </c>
      <c r="D313" s="13"/>
      <c r="F313" s="11"/>
      <c r="G313" s="11"/>
      <c r="H313" s="42"/>
      <c r="I313" s="60"/>
    </row>
    <row r="314" spans="2:9" s="8" customFormat="1" ht="12.75">
      <c r="B314" s="8" t="s">
        <v>134</v>
      </c>
      <c r="D314" s="13"/>
      <c r="F314" s="11"/>
      <c r="G314" s="11"/>
      <c r="H314" s="42"/>
      <c r="I314" s="60"/>
    </row>
    <row r="315" spans="2:9" s="8" customFormat="1" ht="12.75">
      <c r="B315" s="8" t="s">
        <v>504</v>
      </c>
      <c r="D315" s="13"/>
      <c r="F315" s="11">
        <f>1257766-60143</f>
        <v>1197623</v>
      </c>
      <c r="G315" s="11">
        <f>1257765-60143</f>
        <v>1197622</v>
      </c>
      <c r="H315" s="42">
        <f>G315/F315</f>
        <v>0.999999165012696</v>
      </c>
      <c r="I315" s="60">
        <f>G315/G$613</f>
        <v>0.0711717129253503</v>
      </c>
    </row>
    <row r="316" spans="2:9" s="8" customFormat="1" ht="12.75">
      <c r="B316" s="8" t="s">
        <v>135</v>
      </c>
      <c r="D316" s="13"/>
      <c r="F316" s="11"/>
      <c r="G316" s="11"/>
      <c r="H316" s="42"/>
      <c r="I316" s="60"/>
    </row>
    <row r="317" spans="2:9" s="8" customFormat="1" ht="12.75">
      <c r="B317" s="8" t="s">
        <v>505</v>
      </c>
      <c r="D317" s="13"/>
      <c r="F317" s="11">
        <f>361608-9155</f>
        <v>352453</v>
      </c>
      <c r="G317" s="11">
        <f>358627-9155</f>
        <v>349472</v>
      </c>
      <c r="H317" s="42">
        <f>G317/F317</f>
        <v>0.9915421346959736</v>
      </c>
      <c r="I317" s="60">
        <f>G317/G$613</f>
        <v>0.02076825647779351</v>
      </c>
    </row>
    <row r="318" spans="2:9" s="8" customFormat="1" ht="12.75">
      <c r="B318" s="8" t="s">
        <v>136</v>
      </c>
      <c r="D318" s="13"/>
      <c r="F318" s="11"/>
      <c r="G318" s="11"/>
      <c r="H318" s="42"/>
      <c r="I318" s="60"/>
    </row>
    <row r="319" spans="2:9" s="8" customFormat="1" ht="12.75">
      <c r="B319" s="8" t="s">
        <v>202</v>
      </c>
      <c r="D319" s="13"/>
      <c r="F319" s="11">
        <f>87643-2100</f>
        <v>85543</v>
      </c>
      <c r="G319" s="11">
        <f>86551-2100</f>
        <v>84451</v>
      </c>
      <c r="H319" s="42">
        <f>G319/F319</f>
        <v>0.9872344902563623</v>
      </c>
      <c r="I319" s="60">
        <f>G319/G$613</f>
        <v>0.005018714025175521</v>
      </c>
    </row>
    <row r="320" spans="2:9" s="8" customFormat="1" ht="12.75">
      <c r="B320" s="8" t="s">
        <v>137</v>
      </c>
      <c r="D320" s="13"/>
      <c r="F320" s="11">
        <v>2600</v>
      </c>
      <c r="G320" s="11">
        <v>2600</v>
      </c>
      <c r="H320" s="42">
        <f>G320/F320</f>
        <v>1</v>
      </c>
      <c r="I320" s="60">
        <f>G320/G$613</f>
        <v>0.00015451156842969714</v>
      </c>
    </row>
    <row r="321" spans="2:9" s="8" customFormat="1" ht="12.75">
      <c r="B321" s="8" t="s">
        <v>203</v>
      </c>
      <c r="D321" s="13"/>
      <c r="F321" s="11">
        <v>71398</v>
      </c>
      <c r="G321" s="11">
        <v>71398</v>
      </c>
      <c r="H321" s="42">
        <f>G321/F321</f>
        <v>1</v>
      </c>
      <c r="I321" s="60">
        <f>G321/G$613</f>
        <v>0.004243006524132122</v>
      </c>
    </row>
    <row r="322" spans="2:9" s="8" customFormat="1" ht="12.75">
      <c r="B322" s="8" t="s">
        <v>190</v>
      </c>
      <c r="D322" s="13"/>
      <c r="E322" s="8" t="s">
        <v>138</v>
      </c>
      <c r="F322" s="11">
        <f>235230+80000+12100+30500+36400+82730</f>
        <v>476960</v>
      </c>
      <c r="G322" s="11">
        <f>234778+78549+11842+30098+31943+82718</f>
        <v>469928</v>
      </c>
      <c r="H322" s="42">
        <f>G322/F322</f>
        <v>0.9852566252935256</v>
      </c>
      <c r="I322" s="60">
        <f>G322/G$613</f>
        <v>0.027926658588088737</v>
      </c>
    </row>
    <row r="323" spans="2:9" s="8" customFormat="1" ht="12.75">
      <c r="B323" s="8" t="s">
        <v>139</v>
      </c>
      <c r="D323" s="13"/>
      <c r="E323" s="13"/>
      <c r="F323" s="11"/>
      <c r="G323" s="11"/>
      <c r="H323" s="42"/>
      <c r="I323" s="60"/>
    </row>
    <row r="324" spans="2:9" s="8" customFormat="1" ht="12.75">
      <c r="B324" s="8" t="s">
        <v>140</v>
      </c>
      <c r="D324" s="13"/>
      <c r="E324" s="13">
        <f>168020+6720</f>
        <v>174740</v>
      </c>
      <c r="F324" s="11"/>
      <c r="G324" s="11"/>
      <c r="H324" s="42"/>
      <c r="I324" s="60"/>
    </row>
    <row r="325" spans="2:9" s="8" customFormat="1" ht="12.75">
      <c r="B325" s="8" t="s">
        <v>141</v>
      </c>
      <c r="D325" s="13"/>
      <c r="E325" s="13">
        <v>10159</v>
      </c>
      <c r="F325" s="11"/>
      <c r="G325" s="11"/>
      <c r="H325" s="42"/>
      <c r="I325" s="60"/>
    </row>
    <row r="326" spans="2:9" s="8" customFormat="1" ht="12.75">
      <c r="B326" s="8" t="s">
        <v>143</v>
      </c>
      <c r="D326" s="13"/>
      <c r="E326" s="13">
        <f>17201+3000</f>
        <v>20201</v>
      </c>
      <c r="F326" s="11"/>
      <c r="G326" s="11"/>
      <c r="H326" s="42"/>
      <c r="I326" s="60"/>
    </row>
    <row r="327" spans="2:9" s="8" customFormat="1" ht="12.75">
      <c r="B327" s="8" t="s">
        <v>144</v>
      </c>
      <c r="D327" s="13"/>
      <c r="E327" s="13">
        <f>8396+1500</f>
        <v>9896</v>
      </c>
      <c r="F327" s="11"/>
      <c r="G327" s="11"/>
      <c r="H327" s="42"/>
      <c r="I327" s="60"/>
    </row>
    <row r="328" spans="2:9" s="8" customFormat="1" ht="12.75">
      <c r="B328" s="8" t="s">
        <v>145</v>
      </c>
      <c r="D328" s="13"/>
      <c r="E328" s="13">
        <f>659+1327</f>
        <v>1986</v>
      </c>
      <c r="F328" s="11"/>
      <c r="G328" s="11"/>
      <c r="H328" s="42"/>
      <c r="I328" s="60"/>
    </row>
    <row r="329" spans="2:9" s="8" customFormat="1" ht="12.75">
      <c r="B329" s="8" t="s">
        <v>142</v>
      </c>
      <c r="D329" s="13"/>
      <c r="E329" s="13">
        <v>78549</v>
      </c>
      <c r="F329" s="11"/>
      <c r="G329" s="11"/>
      <c r="H329" s="42"/>
      <c r="I329" s="60"/>
    </row>
    <row r="330" spans="2:9" s="8" customFormat="1" ht="12.75">
      <c r="B330" s="8" t="s">
        <v>187</v>
      </c>
      <c r="D330" s="13"/>
      <c r="E330" s="13">
        <f>2276+9228+1107+716+174+4011</f>
        <v>17512</v>
      </c>
      <c r="F330" s="11"/>
      <c r="G330" s="11"/>
      <c r="H330" s="42"/>
      <c r="I330" s="60"/>
    </row>
    <row r="331" spans="2:9" s="8" customFormat="1" ht="12.75">
      <c r="B331" s="8" t="s">
        <v>216</v>
      </c>
      <c r="D331" s="13"/>
      <c r="E331" s="13">
        <v>17880</v>
      </c>
      <c r="F331" s="11"/>
      <c r="G331" s="11"/>
      <c r="H331" s="42"/>
      <c r="I331" s="60"/>
    </row>
    <row r="332" spans="2:9" s="8" customFormat="1" ht="12.75">
      <c r="B332" s="8" t="s">
        <v>188</v>
      </c>
      <c r="D332" s="13"/>
      <c r="E332" s="13">
        <f>4728+1433</f>
        <v>6161</v>
      </c>
      <c r="F332" s="11"/>
      <c r="G332" s="11"/>
      <c r="H332" s="42"/>
      <c r="I332" s="60"/>
    </row>
    <row r="333" spans="2:9" s="8" customFormat="1" ht="12.75">
      <c r="B333" s="8" t="s">
        <v>264</v>
      </c>
      <c r="D333" s="13"/>
      <c r="E333" s="13">
        <v>5646</v>
      </c>
      <c r="F333" s="11"/>
      <c r="G333" s="11"/>
      <c r="H333" s="42"/>
      <c r="I333" s="60"/>
    </row>
    <row r="334" spans="2:9" s="8" customFormat="1" ht="12.75">
      <c r="B334" s="8" t="s">
        <v>350</v>
      </c>
      <c r="D334" s="13"/>
      <c r="E334" s="13">
        <f>27301+5680+2140</f>
        <v>35121</v>
      </c>
      <c r="F334" s="11"/>
      <c r="G334" s="11"/>
      <c r="H334" s="42"/>
      <c r="I334" s="60"/>
    </row>
    <row r="335" spans="2:9" s="8" customFormat="1" ht="12.75">
      <c r="B335" s="8" t="s">
        <v>351</v>
      </c>
      <c r="D335" s="13"/>
      <c r="E335" s="13">
        <v>8052</v>
      </c>
      <c r="F335" s="11"/>
      <c r="G335" s="11"/>
      <c r="H335" s="42"/>
      <c r="I335" s="60"/>
    </row>
    <row r="336" spans="2:9" s="8" customFormat="1" ht="12.75">
      <c r="B336" s="8" t="s">
        <v>193</v>
      </c>
      <c r="D336" s="13"/>
      <c r="E336" s="13">
        <v>8516</v>
      </c>
      <c r="F336" s="11"/>
      <c r="G336" s="11"/>
      <c r="H336" s="42"/>
      <c r="I336" s="60"/>
    </row>
    <row r="337" spans="2:9" s="8" customFormat="1" ht="12.75">
      <c r="B337" s="8" t="s">
        <v>352</v>
      </c>
      <c r="D337" s="13"/>
      <c r="E337" s="13">
        <v>11043</v>
      </c>
      <c r="F337" s="11"/>
      <c r="G337" s="11"/>
      <c r="H337" s="42"/>
      <c r="I337" s="60"/>
    </row>
    <row r="338" spans="2:9" s="8" customFormat="1" ht="12.75">
      <c r="B338" s="8" t="s">
        <v>353</v>
      </c>
      <c r="D338" s="13"/>
      <c r="E338" s="13">
        <v>2837</v>
      </c>
      <c r="F338" s="11"/>
      <c r="G338" s="11"/>
      <c r="H338" s="42"/>
      <c r="I338" s="60"/>
    </row>
    <row r="339" spans="2:9" s="8" customFormat="1" ht="12.75">
      <c r="B339" s="8" t="s">
        <v>354</v>
      </c>
      <c r="D339" s="13"/>
      <c r="E339" s="13">
        <v>5270</v>
      </c>
      <c r="F339" s="11"/>
      <c r="G339" s="11"/>
      <c r="H339" s="42"/>
      <c r="I339" s="60"/>
    </row>
    <row r="340" spans="2:9" s="8" customFormat="1" ht="12.75">
      <c r="B340" s="8" t="s">
        <v>355</v>
      </c>
      <c r="D340" s="13"/>
      <c r="E340" s="13"/>
      <c r="F340" s="11"/>
      <c r="G340" s="11"/>
      <c r="H340" s="42"/>
      <c r="I340" s="60"/>
    </row>
    <row r="341" spans="2:9" s="8" customFormat="1" ht="12.75">
      <c r="B341" s="8" t="s">
        <v>229</v>
      </c>
      <c r="D341" s="13"/>
      <c r="E341" s="13"/>
      <c r="F341" s="11"/>
      <c r="G341" s="11"/>
      <c r="H341" s="42"/>
      <c r="I341" s="60"/>
    </row>
    <row r="342" spans="2:9" s="8" customFormat="1" ht="12.75">
      <c r="B342" s="8" t="s">
        <v>230</v>
      </c>
      <c r="D342" s="13"/>
      <c r="E342" s="13">
        <v>3294</v>
      </c>
      <c r="F342" s="11"/>
      <c r="G342" s="11"/>
      <c r="H342" s="42"/>
      <c r="I342" s="60"/>
    </row>
    <row r="343" spans="2:9" s="8" customFormat="1" ht="12.75">
      <c r="B343" s="8" t="s">
        <v>506</v>
      </c>
      <c r="D343" s="13"/>
      <c r="E343" s="13"/>
      <c r="F343" s="11"/>
      <c r="G343" s="11"/>
      <c r="H343" s="42"/>
      <c r="I343" s="60"/>
    </row>
    <row r="344" spans="2:9" s="8" customFormat="1" ht="12.75">
      <c r="B344" s="8" t="s">
        <v>507</v>
      </c>
      <c r="D344" s="13"/>
      <c r="E344" s="13">
        <v>29958</v>
      </c>
      <c r="F344" s="11"/>
      <c r="G344" s="11"/>
      <c r="H344" s="42"/>
      <c r="I344" s="60"/>
    </row>
    <row r="345" spans="4:9" s="8" customFormat="1" ht="12.75">
      <c r="D345" s="13"/>
      <c r="E345" s="13"/>
      <c r="F345" s="11"/>
      <c r="G345" s="11"/>
      <c r="H345" s="42"/>
      <c r="I345" s="60"/>
    </row>
    <row r="346" spans="2:9" s="39" customFormat="1" ht="12.75">
      <c r="B346" s="39" t="s">
        <v>148</v>
      </c>
      <c r="D346" s="40"/>
      <c r="F346" s="41">
        <f>29950+265+419064+32140+87917+12045+13500+44996+31950+2700+10300+2500+1800+23244+500+3000+1711+26085</f>
        <v>743667</v>
      </c>
      <c r="G346" s="41">
        <f>29572+265+399006+32139+84107+11514+13397+43222+29380+2610+8908+2433+1677+23226+135+2367+1711+25450</f>
        <v>711119</v>
      </c>
      <c r="H346" s="44">
        <f>G346/F346</f>
        <v>0.9562330989542362</v>
      </c>
      <c r="I346" s="66">
        <f>G346/G$613</f>
        <v>0.042260043088522235</v>
      </c>
    </row>
    <row r="347" spans="2:9" s="8" customFormat="1" ht="12.75">
      <c r="B347" s="8" t="s">
        <v>133</v>
      </c>
      <c r="D347" s="13"/>
      <c r="F347" s="11"/>
      <c r="G347" s="11"/>
      <c r="H347" s="42"/>
      <c r="I347" s="60"/>
    </row>
    <row r="348" spans="2:9" s="8" customFormat="1" ht="12.75">
      <c r="B348" s="8" t="s">
        <v>134</v>
      </c>
      <c r="D348" s="13"/>
      <c r="F348" s="11"/>
      <c r="G348" s="11"/>
      <c r="H348" s="42"/>
      <c r="I348" s="60"/>
    </row>
    <row r="349" spans="2:9" s="8" customFormat="1" ht="12.75">
      <c r="B349" s="8" t="s">
        <v>356</v>
      </c>
      <c r="D349" s="13"/>
      <c r="F349" s="11">
        <f>289214+21380+59517+8195+1</f>
        <v>378307</v>
      </c>
      <c r="G349" s="11">
        <f>276478+21379+57834+7930+3</f>
        <v>363624</v>
      </c>
      <c r="H349" s="42">
        <f>G349/F349</f>
        <v>0.9611876068906999</v>
      </c>
      <c r="I349" s="60">
        <f>G349/G$613</f>
        <v>0.021609274830261614</v>
      </c>
    </row>
    <row r="350" spans="2:9" s="8" customFormat="1" ht="12.75">
      <c r="B350" s="8" t="s">
        <v>135</v>
      </c>
      <c r="D350" s="13"/>
      <c r="F350" s="11"/>
      <c r="G350" s="11"/>
      <c r="H350" s="42"/>
      <c r="I350" s="60"/>
    </row>
    <row r="351" spans="2:9" s="8" customFormat="1" ht="12.75">
      <c r="B351" s="8" t="s">
        <v>357</v>
      </c>
      <c r="D351" s="13"/>
      <c r="F351" s="11">
        <f>47550+50000+3679+4150+9300+9500+1250+1300+2300+300+13500</f>
        <v>142829</v>
      </c>
      <c r="G351" s="11">
        <f>45773+47966+3679+4150+8939+9262+1217+1261+2240+305+13397</f>
        <v>138189</v>
      </c>
      <c r="H351" s="42">
        <f>G351/F351</f>
        <v>0.9675136001792353</v>
      </c>
      <c r="I351" s="60">
        <f>G351/G$613</f>
        <v>0.008212230434512083</v>
      </c>
    </row>
    <row r="352" spans="2:9" s="8" customFormat="1" ht="12.75">
      <c r="B352" s="8" t="s">
        <v>136</v>
      </c>
      <c r="D352" s="13"/>
      <c r="F352" s="11"/>
      <c r="G352" s="11"/>
      <c r="H352" s="42"/>
      <c r="I352" s="60"/>
    </row>
    <row r="353" spans="2:9" s="8" customFormat="1" ht="12.75">
      <c r="B353" s="8" t="s">
        <v>358</v>
      </c>
      <c r="D353" s="13"/>
      <c r="F353" s="11">
        <f>32300+2930+7300+1000</f>
        <v>43530</v>
      </c>
      <c r="G353" s="11">
        <f>28788+2930+5832+800</f>
        <v>38350</v>
      </c>
      <c r="H353" s="42">
        <f>G353/F353</f>
        <v>0.8810016080863772</v>
      </c>
      <c r="I353" s="60">
        <f>G353/G$613</f>
        <v>0.002279045634338033</v>
      </c>
    </row>
    <row r="354" spans="2:9" s="8" customFormat="1" ht="12.75">
      <c r="B354" s="8" t="s">
        <v>149</v>
      </c>
      <c r="D354" s="13"/>
      <c r="E354" s="13"/>
      <c r="F354" s="11">
        <f>8834+18806</f>
        <v>27640</v>
      </c>
      <c r="G354" s="11">
        <f>8832+18800</f>
        <v>27632</v>
      </c>
      <c r="H354" s="42">
        <f>G354/F354</f>
        <v>0.9997105643994211</v>
      </c>
      <c r="I354" s="60">
        <f>G354/G$613</f>
        <v>0.001642101407249766</v>
      </c>
    </row>
    <row r="355" spans="4:9" s="8" customFormat="1" ht="12.75">
      <c r="D355" s="13"/>
      <c r="E355" s="13"/>
      <c r="F355" s="11"/>
      <c r="G355" s="11"/>
      <c r="H355" s="42"/>
      <c r="I355" s="60"/>
    </row>
    <row r="356" spans="2:9" s="8" customFormat="1" ht="12.75">
      <c r="B356" s="8" t="s">
        <v>567</v>
      </c>
      <c r="D356" s="13"/>
      <c r="E356" s="8" t="s">
        <v>138</v>
      </c>
      <c r="F356" s="11">
        <f>44996+31950+2700+10300+2500+1800+23244</f>
        <v>117490</v>
      </c>
      <c r="G356" s="11">
        <f>43222+29380+2610+8908+2433+1677+23226+135</f>
        <v>111591</v>
      </c>
      <c r="H356" s="42">
        <f>G356/F356</f>
        <v>0.9497914716146055</v>
      </c>
      <c r="I356" s="60">
        <f>G356/G$613</f>
        <v>0.006631577089476283</v>
      </c>
    </row>
    <row r="357" spans="2:9" s="8" customFormat="1" ht="12.75">
      <c r="B357" s="8" t="s">
        <v>139</v>
      </c>
      <c r="D357" s="13"/>
      <c r="E357" s="13"/>
      <c r="F357" s="11"/>
      <c r="G357" s="11"/>
      <c r="H357" s="42"/>
      <c r="I357" s="60"/>
    </row>
    <row r="358" spans="2:9" s="8" customFormat="1" ht="12.75">
      <c r="B358" s="8" t="s">
        <v>140</v>
      </c>
      <c r="D358" s="13"/>
      <c r="E358" s="13">
        <v>13220</v>
      </c>
      <c r="F358" s="11"/>
      <c r="G358" s="11"/>
      <c r="H358" s="42"/>
      <c r="I358" s="60"/>
    </row>
    <row r="359" spans="2:9" s="8" customFormat="1" ht="12.75">
      <c r="B359" s="8" t="s">
        <v>141</v>
      </c>
      <c r="D359" s="13"/>
      <c r="E359" s="13">
        <v>12955</v>
      </c>
      <c r="F359" s="11"/>
      <c r="G359" s="11"/>
      <c r="H359" s="42"/>
      <c r="I359" s="60"/>
    </row>
    <row r="360" spans="2:9" s="8" customFormat="1" ht="12.75">
      <c r="B360" s="8" t="s">
        <v>150</v>
      </c>
      <c r="D360" s="13"/>
      <c r="E360" s="13">
        <f>8908-E361</f>
        <v>8191</v>
      </c>
      <c r="F360" s="11"/>
      <c r="G360" s="11"/>
      <c r="H360" s="42"/>
      <c r="I360" s="60"/>
    </row>
    <row r="361" spans="2:9" s="8" customFormat="1" ht="12.75">
      <c r="B361" s="8" t="s">
        <v>144</v>
      </c>
      <c r="D361" s="13"/>
      <c r="E361" s="13">
        <v>717</v>
      </c>
      <c r="F361" s="11"/>
      <c r="G361" s="11"/>
      <c r="H361" s="42"/>
      <c r="I361" s="60"/>
    </row>
    <row r="362" spans="2:9" s="8" customFormat="1" ht="12.75">
      <c r="B362" s="8" t="s">
        <v>265</v>
      </c>
      <c r="D362" s="13"/>
      <c r="E362" s="13">
        <v>29380</v>
      </c>
      <c r="F362" s="11"/>
      <c r="G362" s="11"/>
      <c r="H362" s="42"/>
      <c r="I362" s="60"/>
    </row>
    <row r="363" spans="2:9" s="8" customFormat="1" ht="12.75">
      <c r="B363" s="8" t="s">
        <v>266</v>
      </c>
      <c r="D363" s="13"/>
      <c r="E363" s="13">
        <f>5032+2155</f>
        <v>7187</v>
      </c>
      <c r="F363" s="11"/>
      <c r="G363" s="11"/>
      <c r="H363" s="42"/>
      <c r="I363" s="60"/>
    </row>
    <row r="364" spans="2:9" s="8" customFormat="1" ht="12.75">
      <c r="B364" s="48" t="s">
        <v>568</v>
      </c>
      <c r="D364" s="13"/>
      <c r="E364" s="13">
        <f>3816+344+2000</f>
        <v>6160</v>
      </c>
      <c r="F364" s="11"/>
      <c r="G364" s="11"/>
      <c r="H364" s="42"/>
      <c r="I364" s="60"/>
    </row>
    <row r="365" spans="2:9" s="8" customFormat="1" ht="12.75">
      <c r="B365" s="8" t="s">
        <v>267</v>
      </c>
      <c r="D365" s="13"/>
      <c r="E365" s="13">
        <v>1692</v>
      </c>
      <c r="F365" s="11"/>
      <c r="G365" s="11"/>
      <c r="H365" s="42"/>
      <c r="I365" s="60"/>
    </row>
    <row r="366" spans="2:9" s="8" customFormat="1" ht="12.75">
      <c r="B366" s="8" t="s">
        <v>268</v>
      </c>
      <c r="D366" s="13"/>
      <c r="E366" s="13">
        <v>1799</v>
      </c>
      <c r="F366" s="11"/>
      <c r="G366" s="11"/>
      <c r="H366" s="42"/>
      <c r="I366" s="60"/>
    </row>
    <row r="367" spans="2:9" s="8" customFormat="1" ht="12.75">
      <c r="B367" s="8" t="s">
        <v>269</v>
      </c>
      <c r="D367" s="13"/>
      <c r="E367" s="13">
        <v>3747</v>
      </c>
      <c r="F367" s="11"/>
      <c r="G367" s="11"/>
      <c r="H367" s="42"/>
      <c r="I367" s="60"/>
    </row>
    <row r="368" spans="2:9" s="8" customFormat="1" ht="12.75">
      <c r="B368" s="8" t="s">
        <v>508</v>
      </c>
      <c r="D368" s="13"/>
      <c r="E368" s="13">
        <v>135</v>
      </c>
      <c r="F368" s="11"/>
      <c r="G368" s="11"/>
      <c r="H368" s="42"/>
      <c r="I368" s="60"/>
    </row>
    <row r="369" spans="2:9" s="8" customFormat="1" ht="12.75">
      <c r="B369" s="8" t="s">
        <v>270</v>
      </c>
      <c r="D369" s="13"/>
      <c r="E369" s="13">
        <v>2789</v>
      </c>
      <c r="F369" s="11"/>
      <c r="G369" s="11"/>
      <c r="H369" s="42"/>
      <c r="I369" s="60"/>
    </row>
    <row r="370" spans="2:9" s="8" customFormat="1" ht="12.75">
      <c r="B370" s="8" t="s">
        <v>509</v>
      </c>
      <c r="D370" s="13"/>
      <c r="E370" s="13">
        <v>7092</v>
      </c>
      <c r="F370" s="11"/>
      <c r="G370" s="11"/>
      <c r="H370" s="42"/>
      <c r="I370" s="60"/>
    </row>
    <row r="371" spans="4:9" s="8" customFormat="1" ht="12.75">
      <c r="D371" s="13"/>
      <c r="E371" s="13"/>
      <c r="F371" s="11"/>
      <c r="G371" s="11"/>
      <c r="H371" s="42"/>
      <c r="I371" s="60"/>
    </row>
    <row r="372" spans="2:9" s="8" customFormat="1" ht="12.75">
      <c r="B372" s="8" t="s">
        <v>233</v>
      </c>
      <c r="D372" s="13"/>
      <c r="F372" s="11"/>
      <c r="G372" s="11"/>
      <c r="H372" s="42"/>
      <c r="I372" s="60"/>
    </row>
    <row r="373" spans="2:9" s="8" customFormat="1" ht="12.75">
      <c r="B373" s="8" t="s">
        <v>147</v>
      </c>
      <c r="D373" s="13"/>
      <c r="F373" s="11">
        <v>26085</v>
      </c>
      <c r="G373" s="11">
        <v>25450</v>
      </c>
      <c r="H373" s="42">
        <f>G373/F373</f>
        <v>0.9756565075714012</v>
      </c>
      <c r="I373" s="60">
        <f>G373/G$613</f>
        <v>0.0015124305448214587</v>
      </c>
    </row>
    <row r="374" spans="4:9" s="8" customFormat="1" ht="12.75">
      <c r="D374" s="13"/>
      <c r="F374" s="11"/>
      <c r="G374" s="11"/>
      <c r="H374" s="42"/>
      <c r="I374" s="60"/>
    </row>
    <row r="375" spans="2:9" s="39" customFormat="1" ht="12.75">
      <c r="B375" s="39" t="s">
        <v>359</v>
      </c>
      <c r="D375" s="40"/>
      <c r="F375" s="41"/>
      <c r="G375" s="41"/>
      <c r="H375" s="44"/>
      <c r="I375" s="66"/>
    </row>
    <row r="376" spans="2:9" s="39" customFormat="1" ht="12.75">
      <c r="B376" s="39" t="s">
        <v>360</v>
      </c>
      <c r="D376" s="40"/>
      <c r="F376" s="41"/>
      <c r="G376" s="41"/>
      <c r="H376" s="44"/>
      <c r="I376" s="66"/>
    </row>
    <row r="377" spans="2:9" s="39" customFormat="1" ht="12.75">
      <c r="B377" s="39" t="s">
        <v>361</v>
      </c>
      <c r="D377" s="40"/>
      <c r="F377" s="41">
        <v>35048</v>
      </c>
      <c r="G377" s="41">
        <v>34315</v>
      </c>
      <c r="H377" s="44">
        <f>G377/F377</f>
        <v>0.9790858251540744</v>
      </c>
      <c r="I377" s="66">
        <f>G377/G$613</f>
        <v>0.0020392555656404067</v>
      </c>
    </row>
    <row r="378" spans="4:9" s="39" customFormat="1" ht="12.75">
      <c r="D378" s="40"/>
      <c r="F378" s="41"/>
      <c r="G378" s="41"/>
      <c r="H378" s="44"/>
      <c r="I378" s="66"/>
    </row>
    <row r="379" spans="2:9" s="39" customFormat="1" ht="12.75">
      <c r="B379" s="39" t="s">
        <v>362</v>
      </c>
      <c r="D379" s="40"/>
      <c r="F379" s="41">
        <v>1102670</v>
      </c>
      <c r="G379" s="41">
        <v>1092368</v>
      </c>
      <c r="H379" s="44">
        <f>G379/F379</f>
        <v>0.9906572229225425</v>
      </c>
      <c r="I379" s="66">
        <f>G379/G$613</f>
        <v>0.06491672807015823</v>
      </c>
    </row>
    <row r="380" spans="2:9" s="20" customFormat="1" ht="12.75">
      <c r="B380" s="20" t="s">
        <v>133</v>
      </c>
      <c r="D380" s="27"/>
      <c r="F380" s="25"/>
      <c r="G380" s="25"/>
      <c r="H380" s="42"/>
      <c r="I380" s="60"/>
    </row>
    <row r="381" spans="2:9" s="20" customFormat="1" ht="12.75">
      <c r="B381" s="8" t="s">
        <v>271</v>
      </c>
      <c r="D381" s="27"/>
      <c r="F381" s="25"/>
      <c r="G381" s="25"/>
      <c r="H381" s="42"/>
      <c r="I381" s="60"/>
    </row>
    <row r="382" spans="2:9" s="20" customFormat="1" ht="12.75">
      <c r="B382" s="20" t="s">
        <v>510</v>
      </c>
      <c r="D382" s="27"/>
      <c r="F382" s="25">
        <f>607000+41019+105675+15115</f>
        <v>768809</v>
      </c>
      <c r="G382" s="25">
        <f>606273+41018+105669+15026</f>
        <v>767986</v>
      </c>
      <c r="H382" s="42">
        <f>G382/F382</f>
        <v>0.9989295130520064</v>
      </c>
      <c r="I382" s="60">
        <f>G382/G$613</f>
        <v>0.0456395082277113</v>
      </c>
    </row>
    <row r="383" spans="2:9" s="20" customFormat="1" ht="12.75">
      <c r="B383" s="20" t="s">
        <v>272</v>
      </c>
      <c r="D383" s="27"/>
      <c r="F383" s="25">
        <f>77820+83500+8300+20800+82678+22960</f>
        <v>296058</v>
      </c>
      <c r="G383" s="25">
        <f>77818+74664+8255+20748+82678+22602</f>
        <v>286765</v>
      </c>
      <c r="H383" s="42">
        <f>G383/F383</f>
        <v>0.9686108803004817</v>
      </c>
      <c r="I383" s="60">
        <f>G383/G$613</f>
        <v>0.017041734584900808</v>
      </c>
    </row>
    <row r="384" spans="2:9" s="20" customFormat="1" ht="12.75">
      <c r="B384" s="20" t="s">
        <v>273</v>
      </c>
      <c r="D384" s="27"/>
      <c r="E384" s="20" t="s">
        <v>138</v>
      </c>
      <c r="F384" s="25"/>
      <c r="G384" s="25"/>
      <c r="H384" s="42"/>
      <c r="I384" s="60"/>
    </row>
    <row r="385" spans="2:9" s="20" customFormat="1" ht="12.75">
      <c r="B385" s="20" t="s">
        <v>274</v>
      </c>
      <c r="D385" s="27"/>
      <c r="E385" s="27">
        <v>46000</v>
      </c>
      <c r="F385" s="25"/>
      <c r="G385" s="25"/>
      <c r="H385" s="42"/>
      <c r="I385" s="60"/>
    </row>
    <row r="386" spans="2:9" s="20" customFormat="1" ht="12.75">
      <c r="B386" s="20" t="s">
        <v>275</v>
      </c>
      <c r="D386" s="27"/>
      <c r="E386" s="27">
        <v>1796</v>
      </c>
      <c r="F386" s="25"/>
      <c r="G386" s="25"/>
      <c r="H386" s="42"/>
      <c r="I386" s="60"/>
    </row>
    <row r="387" spans="1:9" s="20" customFormat="1" ht="12.75">
      <c r="A387" s="20" t="s">
        <v>210</v>
      </c>
      <c r="B387" s="20" t="s">
        <v>511</v>
      </c>
      <c r="D387" s="27"/>
      <c r="E387" s="27">
        <f>5238+4764</f>
        <v>10002</v>
      </c>
      <c r="F387" s="25"/>
      <c r="G387" s="25"/>
      <c r="H387" s="42"/>
      <c r="I387" s="60"/>
    </row>
    <row r="388" spans="2:9" s="20" customFormat="1" ht="12.75">
      <c r="B388" s="20" t="s">
        <v>276</v>
      </c>
      <c r="D388" s="27"/>
      <c r="E388" s="27">
        <v>885</v>
      </c>
      <c r="F388" s="25"/>
      <c r="G388" s="25"/>
      <c r="H388" s="42"/>
      <c r="I388" s="60"/>
    </row>
    <row r="389" spans="2:9" s="20" customFormat="1" ht="12.75">
      <c r="B389" s="20" t="s">
        <v>265</v>
      </c>
      <c r="D389" s="27"/>
      <c r="E389" s="27">
        <v>74664</v>
      </c>
      <c r="F389" s="25"/>
      <c r="G389" s="25"/>
      <c r="H389" s="42"/>
      <c r="I389" s="60"/>
    </row>
    <row r="390" spans="2:9" s="20" customFormat="1" ht="12.75">
      <c r="B390" s="20" t="s">
        <v>512</v>
      </c>
      <c r="D390" s="27"/>
      <c r="E390" s="27">
        <v>8255</v>
      </c>
      <c r="F390" s="25"/>
      <c r="G390" s="25"/>
      <c r="H390" s="42"/>
      <c r="I390" s="60"/>
    </row>
    <row r="391" spans="2:9" s="20" customFormat="1" ht="12.75">
      <c r="B391" s="20" t="s">
        <v>277</v>
      </c>
      <c r="D391" s="27"/>
      <c r="E391" s="27">
        <f>20748-E392</f>
        <v>15036</v>
      </c>
      <c r="F391" s="25"/>
      <c r="G391" s="25"/>
      <c r="H391" s="42"/>
      <c r="I391" s="60"/>
    </row>
    <row r="392" spans="1:9" s="20" customFormat="1" ht="12.75">
      <c r="A392" s="20" t="s">
        <v>278</v>
      </c>
      <c r="B392" s="20" t="s">
        <v>279</v>
      </c>
      <c r="D392" s="27"/>
      <c r="E392" s="27">
        <v>5712</v>
      </c>
      <c r="F392" s="25"/>
      <c r="G392" s="25"/>
      <c r="H392" s="42"/>
      <c r="I392" s="60"/>
    </row>
    <row r="393" spans="2:9" s="20" customFormat="1" ht="12.75">
      <c r="B393" s="20" t="s">
        <v>363</v>
      </c>
      <c r="D393" s="27"/>
      <c r="E393" s="27">
        <f>4148+4561</f>
        <v>8709</v>
      </c>
      <c r="F393" s="25"/>
      <c r="G393" s="25"/>
      <c r="H393" s="42"/>
      <c r="I393" s="60"/>
    </row>
    <row r="394" spans="2:9" s="20" customFormat="1" ht="12.75">
      <c r="B394" s="20" t="s">
        <v>280</v>
      </c>
      <c r="D394" s="27"/>
      <c r="E394" s="27">
        <v>4261</v>
      </c>
      <c r="F394" s="25"/>
      <c r="G394" s="25"/>
      <c r="H394" s="42"/>
      <c r="I394" s="60"/>
    </row>
    <row r="395" spans="2:9" s="20" customFormat="1" ht="12.75">
      <c r="B395" s="20" t="s">
        <v>514</v>
      </c>
      <c r="D395" s="27"/>
      <c r="E395" s="27">
        <v>4999</v>
      </c>
      <c r="F395" s="25"/>
      <c r="G395" s="25"/>
      <c r="H395" s="42"/>
      <c r="I395" s="60"/>
    </row>
    <row r="396" spans="2:9" s="20" customFormat="1" ht="13.5" customHeight="1">
      <c r="B396" s="20" t="s">
        <v>281</v>
      </c>
      <c r="D396" s="27"/>
      <c r="E396" s="27">
        <v>1200</v>
      </c>
      <c r="F396" s="25"/>
      <c r="G396" s="25"/>
      <c r="H396" s="42"/>
      <c r="I396" s="60"/>
    </row>
    <row r="397" spans="2:9" s="20" customFormat="1" ht="13.5" customHeight="1">
      <c r="B397" s="20" t="s">
        <v>513</v>
      </c>
      <c r="D397" s="27"/>
      <c r="E397" s="27">
        <f>8627+62652+1891</f>
        <v>73170</v>
      </c>
      <c r="F397" s="25"/>
      <c r="G397" s="25"/>
      <c r="H397" s="42"/>
      <c r="I397" s="60"/>
    </row>
    <row r="398" spans="2:9" s="20" customFormat="1" ht="13.5" customHeight="1">
      <c r="B398" s="20" t="s">
        <v>515</v>
      </c>
      <c r="D398" s="27"/>
      <c r="E398" s="27">
        <v>18624</v>
      </c>
      <c r="F398" s="25"/>
      <c r="G398" s="25"/>
      <c r="H398" s="42"/>
      <c r="I398" s="60"/>
    </row>
    <row r="399" spans="4:9" s="20" customFormat="1" ht="12.75">
      <c r="D399" s="27"/>
      <c r="E399" s="27"/>
      <c r="F399" s="25"/>
      <c r="G399" s="25"/>
      <c r="H399" s="42"/>
      <c r="I399" s="60"/>
    </row>
    <row r="400" spans="2:9" s="39" customFormat="1" ht="12.75">
      <c r="B400" s="39" t="s">
        <v>365</v>
      </c>
      <c r="D400" s="40"/>
      <c r="F400" s="41">
        <f>1855734-11700</f>
        <v>1844034</v>
      </c>
      <c r="G400" s="41">
        <f>1827678-11674</f>
        <v>1816004</v>
      </c>
      <c r="H400" s="44">
        <f>G400/F400</f>
        <v>0.9847996295079158</v>
      </c>
      <c r="I400" s="66">
        <f>G400/G$613</f>
        <v>0.10792062550561682</v>
      </c>
    </row>
    <row r="401" spans="2:9" s="8" customFormat="1" ht="12.75">
      <c r="B401" s="8" t="s">
        <v>133</v>
      </c>
      <c r="D401" s="13"/>
      <c r="F401" s="11"/>
      <c r="G401" s="11"/>
      <c r="H401" s="42"/>
      <c r="I401" s="60"/>
    </row>
    <row r="402" spans="2:9" s="8" customFormat="1" ht="12.75">
      <c r="B402" s="8" t="s">
        <v>134</v>
      </c>
      <c r="D402" s="13"/>
      <c r="F402" s="13"/>
      <c r="G402" s="13"/>
      <c r="H402" s="42"/>
      <c r="I402" s="60"/>
    </row>
    <row r="403" spans="2:9" s="8" customFormat="1" ht="12.75">
      <c r="B403" s="8" t="s">
        <v>516</v>
      </c>
      <c r="D403" s="13"/>
      <c r="F403" s="11">
        <f>766100+57250+150125+19980</f>
        <v>993455</v>
      </c>
      <c r="G403" s="11">
        <f>766041+57245+147993+19585-2</f>
        <v>990862</v>
      </c>
      <c r="H403" s="42">
        <f>G403/F403</f>
        <v>0.9973899170068096</v>
      </c>
      <c r="I403" s="60">
        <f>G403/G$613</f>
        <v>0.05888447758361022</v>
      </c>
    </row>
    <row r="404" spans="2:9" s="8" customFormat="1" ht="12.75">
      <c r="B404" s="8" t="s">
        <v>135</v>
      </c>
      <c r="D404" s="13"/>
      <c r="F404" s="11"/>
      <c r="G404" s="11"/>
      <c r="H404" s="42"/>
      <c r="I404" s="60"/>
    </row>
    <row r="405" spans="2:9" s="8" customFormat="1" ht="12.75">
      <c r="B405" s="8" t="s">
        <v>189</v>
      </c>
      <c r="D405" s="13"/>
      <c r="F405" s="11">
        <f>235350+19180+41157+5985</f>
        <v>301672</v>
      </c>
      <c r="G405" s="11">
        <f>234714+19176+36560+5439</f>
        <v>295889</v>
      </c>
      <c r="H405" s="42">
        <f>G405/F405</f>
        <v>0.9808301731682092</v>
      </c>
      <c r="I405" s="60">
        <f>G405/G$613</f>
        <v>0.01758395133503641</v>
      </c>
    </row>
    <row r="406" spans="2:9" s="8" customFormat="1" ht="12.75">
      <c r="B406" s="8" t="s">
        <v>136</v>
      </c>
      <c r="D406" s="13"/>
      <c r="F406" s="11"/>
      <c r="G406" s="11"/>
      <c r="H406" s="42"/>
      <c r="I406" s="60"/>
    </row>
    <row r="407" spans="2:9" s="8" customFormat="1" ht="12.75">
      <c r="B407" s="8" t="s">
        <v>364</v>
      </c>
      <c r="D407" s="13"/>
      <c r="F407" s="11">
        <f>47075+3120+10622+1484</f>
        <v>62301</v>
      </c>
      <c r="G407" s="11">
        <f>47042+3112+8921+1452</f>
        <v>60527</v>
      </c>
      <c r="H407" s="42">
        <f>G407/F407</f>
        <v>0.9715253366719635</v>
      </c>
      <c r="I407" s="60">
        <f>G407/G$613</f>
        <v>0.0035969698855170306</v>
      </c>
    </row>
    <row r="408" spans="2:9" s="8" customFormat="1" ht="12.75">
      <c r="B408" s="8" t="s">
        <v>517</v>
      </c>
      <c r="D408" s="13"/>
      <c r="F408" s="11"/>
      <c r="G408" s="11"/>
      <c r="H408" s="42"/>
      <c r="I408" s="60"/>
    </row>
    <row r="409" spans="2:9" s="8" customFormat="1" ht="12.75">
      <c r="B409" s="8" t="s">
        <v>518</v>
      </c>
      <c r="D409" s="13"/>
      <c r="F409" s="11">
        <f>1350+150+7500</f>
        <v>9000</v>
      </c>
      <c r="G409" s="11">
        <f>647+92+7203</f>
        <v>7942</v>
      </c>
      <c r="H409" s="42">
        <f>G409/F409</f>
        <v>0.8824444444444445</v>
      </c>
      <c r="I409" s="60">
        <f>G409/G$613</f>
        <v>0.00047197341402640565</v>
      </c>
    </row>
    <row r="410" spans="2:9" s="8" customFormat="1" ht="12.75">
      <c r="B410" s="8" t="s">
        <v>137</v>
      </c>
      <c r="D410" s="13"/>
      <c r="F410" s="11">
        <v>2400</v>
      </c>
      <c r="G410" s="11">
        <v>2400</v>
      </c>
      <c r="H410" s="42">
        <f>G410/F410</f>
        <v>1</v>
      </c>
      <c r="I410" s="60">
        <f>G410/G$613</f>
        <v>0.00014262606316587428</v>
      </c>
    </row>
    <row r="411" spans="2:9" s="8" customFormat="1" ht="12.75">
      <c r="B411" s="8" t="s">
        <v>205</v>
      </c>
      <c r="D411" s="13"/>
      <c r="F411" s="11">
        <v>0</v>
      </c>
      <c r="G411" s="11">
        <v>0</v>
      </c>
      <c r="H411" s="42"/>
      <c r="I411" s="60"/>
    </row>
    <row r="412" spans="2:9" s="8" customFormat="1" ht="12.75">
      <c r="B412" s="8" t="s">
        <v>190</v>
      </c>
      <c r="D412" s="13"/>
      <c r="E412" s="8" t="s">
        <v>138</v>
      </c>
      <c r="F412" s="11">
        <f>81300+73500+14000+50300+87239+92500</f>
        <v>398839</v>
      </c>
      <c r="G412" s="11">
        <f>81286+57047+13963+50295+87238+92439</f>
        <v>382268</v>
      </c>
      <c r="H412" s="42">
        <f>G412/F412</f>
        <v>0.958451906659078</v>
      </c>
      <c r="I412" s="60">
        <f>G412/G$613</f>
        <v>0.02271724163095518</v>
      </c>
    </row>
    <row r="413" spans="2:9" s="8" customFormat="1" ht="12.75">
      <c r="B413" s="8" t="s">
        <v>139</v>
      </c>
      <c r="D413" s="13"/>
      <c r="E413" s="13"/>
      <c r="F413" s="11"/>
      <c r="G413" s="11"/>
      <c r="H413" s="42"/>
      <c r="I413" s="60"/>
    </row>
    <row r="414" spans="2:9" s="8" customFormat="1" ht="12.75">
      <c r="B414" s="8" t="s">
        <v>140</v>
      </c>
      <c r="D414" s="13"/>
      <c r="E414" s="13">
        <v>18400</v>
      </c>
      <c r="F414" s="11"/>
      <c r="G414" s="11"/>
      <c r="H414" s="42"/>
      <c r="I414" s="60"/>
    </row>
    <row r="415" spans="2:9" s="8" customFormat="1" ht="12.75">
      <c r="B415" s="8" t="s">
        <v>141</v>
      </c>
      <c r="D415" s="13"/>
      <c r="E415" s="13">
        <v>17258</v>
      </c>
      <c r="F415" s="11"/>
      <c r="G415" s="11"/>
      <c r="H415" s="42"/>
      <c r="I415" s="60"/>
    </row>
    <row r="416" spans="2:9" s="8" customFormat="1" ht="12.75">
      <c r="B416" s="8" t="s">
        <v>143</v>
      </c>
      <c r="D416" s="13"/>
      <c r="E416" s="13">
        <f>16765</f>
        <v>16765</v>
      </c>
      <c r="F416" s="11"/>
      <c r="G416" s="11"/>
      <c r="H416" s="42"/>
      <c r="I416" s="60"/>
    </row>
    <row r="417" spans="2:9" s="8" customFormat="1" ht="12.75">
      <c r="B417" s="8" t="s">
        <v>144</v>
      </c>
      <c r="D417" s="13"/>
      <c r="E417" s="13">
        <v>4335</v>
      </c>
      <c r="F417" s="11"/>
      <c r="G417" s="11"/>
      <c r="H417" s="42"/>
      <c r="I417" s="60"/>
    </row>
    <row r="418" spans="2:9" s="8" customFormat="1" ht="12.75">
      <c r="B418" s="8" t="s">
        <v>151</v>
      </c>
      <c r="D418" s="13"/>
      <c r="E418" s="13">
        <f>27935</f>
        <v>27935</v>
      </c>
      <c r="F418" s="11"/>
      <c r="G418" s="11"/>
      <c r="H418" s="42"/>
      <c r="I418" s="60"/>
    </row>
    <row r="419" spans="2:9" s="8" customFormat="1" ht="12.75">
      <c r="B419" s="8" t="s">
        <v>295</v>
      </c>
      <c r="D419" s="13"/>
      <c r="E419" s="13">
        <f>1214+46</f>
        <v>1260</v>
      </c>
      <c r="F419" s="11"/>
      <c r="G419" s="11"/>
      <c r="H419" s="42"/>
      <c r="I419" s="60"/>
    </row>
    <row r="420" spans="2:9" s="8" customFormat="1" ht="12.75">
      <c r="B420" s="8" t="s">
        <v>519</v>
      </c>
      <c r="D420" s="13"/>
      <c r="E420" s="13"/>
      <c r="F420" s="11"/>
      <c r="G420" s="11"/>
      <c r="H420" s="42"/>
      <c r="I420" s="60"/>
    </row>
    <row r="421" spans="2:9" s="8" customFormat="1" ht="12.75">
      <c r="B421" s="8" t="s">
        <v>522</v>
      </c>
      <c r="D421" s="13"/>
      <c r="E421" s="13">
        <f>87238+7770</f>
        <v>95008</v>
      </c>
      <c r="F421" s="11"/>
      <c r="G421" s="11"/>
      <c r="H421" s="42"/>
      <c r="I421" s="60"/>
    </row>
    <row r="422" spans="2:9" s="8" customFormat="1" ht="12.75">
      <c r="B422" s="8" t="s">
        <v>152</v>
      </c>
      <c r="D422" s="13"/>
      <c r="E422" s="13">
        <v>57047</v>
      </c>
      <c r="F422" s="11"/>
      <c r="G422" s="11"/>
      <c r="H422" s="42"/>
      <c r="I422" s="60"/>
    </row>
    <row r="423" spans="2:9" s="8" customFormat="1" ht="12.75">
      <c r="B423" s="8" t="s">
        <v>206</v>
      </c>
      <c r="D423" s="13"/>
      <c r="E423" s="13">
        <f>13408+6966</f>
        <v>20374</v>
      </c>
      <c r="F423" s="11"/>
      <c r="G423" s="11"/>
      <c r="H423" s="42"/>
      <c r="I423" s="60"/>
    </row>
    <row r="424" spans="2:9" s="8" customFormat="1" ht="12.75">
      <c r="B424" s="20" t="s">
        <v>234</v>
      </c>
      <c r="D424" s="13"/>
      <c r="E424" s="13">
        <v>14721</v>
      </c>
      <c r="F424" s="11"/>
      <c r="G424" s="11"/>
      <c r="H424" s="42"/>
      <c r="I424" s="60"/>
    </row>
    <row r="425" spans="2:9" s="8" customFormat="1" ht="12.75">
      <c r="B425" s="8" t="s">
        <v>191</v>
      </c>
      <c r="D425" s="13"/>
      <c r="E425" s="13">
        <v>7870</v>
      </c>
      <c r="F425" s="11"/>
      <c r="G425" s="11"/>
      <c r="H425" s="42"/>
      <c r="I425" s="60"/>
    </row>
    <row r="426" spans="2:9" s="8" customFormat="1" ht="12.75">
      <c r="B426" s="8" t="s">
        <v>192</v>
      </c>
      <c r="D426" s="13"/>
      <c r="E426" s="13">
        <v>3660</v>
      </c>
      <c r="F426" s="11"/>
      <c r="G426" s="11"/>
      <c r="H426" s="42"/>
      <c r="I426" s="60"/>
    </row>
    <row r="427" spans="2:9" s="8" customFormat="1" ht="12.75">
      <c r="B427" s="8" t="s">
        <v>193</v>
      </c>
      <c r="D427" s="13"/>
      <c r="E427" s="13">
        <v>17312</v>
      </c>
      <c r="F427" s="11"/>
      <c r="G427" s="11"/>
      <c r="H427" s="42"/>
      <c r="I427" s="60"/>
    </row>
    <row r="428" spans="2:9" s="8" customFormat="1" ht="12.75">
      <c r="B428" s="8" t="s">
        <v>207</v>
      </c>
      <c r="D428" s="13"/>
      <c r="E428" s="13">
        <v>13963</v>
      </c>
      <c r="F428" s="11"/>
      <c r="G428" s="11"/>
      <c r="H428" s="42"/>
      <c r="I428" s="60"/>
    </row>
    <row r="429" spans="2:9" s="8" customFormat="1" ht="12.75">
      <c r="B429" s="8" t="s">
        <v>204</v>
      </c>
      <c r="D429" s="13"/>
      <c r="E429" s="13">
        <v>4176</v>
      </c>
      <c r="F429" s="11"/>
      <c r="G429" s="11"/>
      <c r="H429" s="42"/>
      <c r="I429" s="60"/>
    </row>
    <row r="430" spans="2:9" s="8" customFormat="1" ht="12.75">
      <c r="B430" s="8" t="s">
        <v>520</v>
      </c>
      <c r="D430" s="13"/>
      <c r="E430" s="13"/>
      <c r="F430" s="11"/>
      <c r="G430" s="11"/>
      <c r="H430" s="42"/>
      <c r="I430" s="60"/>
    </row>
    <row r="431" spans="2:9" s="8" customFormat="1" ht="12.75">
      <c r="B431" s="8" t="s">
        <v>521</v>
      </c>
      <c r="D431" s="13"/>
      <c r="E431" s="13">
        <v>14167</v>
      </c>
      <c r="F431" s="11"/>
      <c r="G431" s="11"/>
      <c r="H431" s="42"/>
      <c r="I431" s="60"/>
    </row>
    <row r="432" spans="2:9" s="8" customFormat="1" ht="12.75">
      <c r="B432" s="8" t="s">
        <v>231</v>
      </c>
      <c r="D432" s="13"/>
      <c r="E432" s="13">
        <v>11613</v>
      </c>
      <c r="F432" s="11"/>
      <c r="G432" s="11"/>
      <c r="H432" s="42"/>
      <c r="I432" s="60"/>
    </row>
    <row r="433" spans="2:9" s="8" customFormat="1" ht="12.75">
      <c r="B433" s="8" t="s">
        <v>232</v>
      </c>
      <c r="D433" s="13"/>
      <c r="E433" s="13"/>
      <c r="F433" s="11"/>
      <c r="G433" s="11"/>
      <c r="H433" s="42"/>
      <c r="I433" s="60"/>
    </row>
    <row r="434" spans="2:9" s="8" customFormat="1" ht="12.75">
      <c r="B434" s="8" t="s">
        <v>229</v>
      </c>
      <c r="D434" s="13"/>
      <c r="E434" s="13"/>
      <c r="F434" s="11"/>
      <c r="G434" s="11"/>
      <c r="H434" s="42"/>
      <c r="I434" s="60"/>
    </row>
    <row r="435" spans="2:9" s="8" customFormat="1" ht="12.75">
      <c r="B435" s="8" t="s">
        <v>282</v>
      </c>
      <c r="D435" s="13"/>
      <c r="E435" s="13">
        <v>2685</v>
      </c>
      <c r="F435" s="11"/>
      <c r="G435" s="11"/>
      <c r="H435" s="42"/>
      <c r="I435" s="60"/>
    </row>
    <row r="436" spans="2:9" s="8" customFormat="1" ht="12.75">
      <c r="B436" s="8" t="s">
        <v>523</v>
      </c>
      <c r="D436" s="13"/>
      <c r="E436" s="13"/>
      <c r="F436" s="11"/>
      <c r="G436" s="11"/>
      <c r="H436" s="42"/>
      <c r="I436" s="60"/>
    </row>
    <row r="437" spans="2:9" s="8" customFormat="1" ht="12.75">
      <c r="B437" s="8" t="s">
        <v>524</v>
      </c>
      <c r="D437" s="13"/>
      <c r="E437" s="13">
        <v>4165</v>
      </c>
      <c r="F437" s="11"/>
      <c r="G437" s="11"/>
      <c r="H437" s="42"/>
      <c r="I437" s="60"/>
    </row>
    <row r="438" spans="2:9" s="8" customFormat="1" ht="12.75">
      <c r="B438" s="8" t="s">
        <v>525</v>
      </c>
      <c r="D438" s="13"/>
      <c r="E438" s="13">
        <v>3888</v>
      </c>
      <c r="F438" s="11"/>
      <c r="G438" s="11"/>
      <c r="H438" s="42"/>
      <c r="I438" s="60"/>
    </row>
    <row r="439" spans="2:9" s="8" customFormat="1" ht="12.75">
      <c r="B439" s="48" t="s">
        <v>590</v>
      </c>
      <c r="D439" s="13"/>
      <c r="E439" s="13">
        <v>5276</v>
      </c>
      <c r="F439" s="11"/>
      <c r="G439" s="11"/>
      <c r="H439" s="42"/>
      <c r="I439" s="60"/>
    </row>
    <row r="440" spans="4:9" s="8" customFormat="1" ht="12.75">
      <c r="D440" s="13"/>
      <c r="E440" s="13"/>
      <c r="F440" s="11"/>
      <c r="G440" s="11"/>
      <c r="H440" s="42"/>
      <c r="I440" s="60"/>
    </row>
    <row r="441" spans="2:9" s="8" customFormat="1" ht="12.75">
      <c r="B441" s="8" t="s">
        <v>146</v>
      </c>
      <c r="D441" s="13"/>
      <c r="F441" s="11"/>
      <c r="G441" s="11"/>
      <c r="H441" s="42"/>
      <c r="I441" s="60"/>
    </row>
    <row r="442" spans="2:9" s="8" customFormat="1" ht="12.75">
      <c r="B442" s="8" t="s">
        <v>147</v>
      </c>
      <c r="D442" s="13"/>
      <c r="F442" s="11">
        <v>61887</v>
      </c>
      <c r="G442" s="11">
        <v>61887</v>
      </c>
      <c r="H442" s="42">
        <f>G442/F442</f>
        <v>1</v>
      </c>
      <c r="I442" s="60">
        <f>G442/G$613</f>
        <v>0.003677791321311026</v>
      </c>
    </row>
    <row r="443" spans="4:9" s="8" customFormat="1" ht="12.75">
      <c r="D443" s="13"/>
      <c r="F443" s="11"/>
      <c r="G443" s="11"/>
      <c r="H443" s="42"/>
      <c r="I443" s="60"/>
    </row>
    <row r="444" spans="2:9" s="39" customFormat="1" ht="12.75">
      <c r="B444" s="39" t="s">
        <v>366</v>
      </c>
      <c r="D444" s="40"/>
      <c r="F444" s="41">
        <v>75330</v>
      </c>
      <c r="G444" s="41">
        <v>75044</v>
      </c>
      <c r="H444" s="44">
        <f>G444/F444</f>
        <v>0.996203371830612</v>
      </c>
      <c r="I444" s="66">
        <f>G444/G$613</f>
        <v>0.004459679285091613</v>
      </c>
    </row>
    <row r="445" spans="4:9" s="8" customFormat="1" ht="12.75">
      <c r="D445" s="13"/>
      <c r="F445" s="11"/>
      <c r="G445" s="11"/>
      <c r="H445" s="44"/>
      <c r="I445" s="66"/>
    </row>
    <row r="446" spans="2:9" s="39" customFormat="1" ht="12.75">
      <c r="B446" s="39" t="s">
        <v>367</v>
      </c>
      <c r="D446" s="40"/>
      <c r="F446" s="41">
        <v>17300</v>
      </c>
      <c r="G446" s="41">
        <v>16237</v>
      </c>
      <c r="H446" s="44">
        <f>G446/F446</f>
        <v>0.9385549132947977</v>
      </c>
      <c r="I446" s="66">
        <f>G446/G$613</f>
        <v>0.0009649247448434586</v>
      </c>
    </row>
    <row r="447" spans="4:9" s="8" customFormat="1" ht="12.75">
      <c r="D447" s="13"/>
      <c r="F447" s="11"/>
      <c r="G447" s="11"/>
      <c r="H447" s="44"/>
      <c r="I447" s="66"/>
    </row>
    <row r="448" spans="2:9" s="39" customFormat="1" ht="12.75">
      <c r="B448" s="39" t="s">
        <v>368</v>
      </c>
      <c r="D448" s="40"/>
      <c r="F448" s="41">
        <v>1000</v>
      </c>
      <c r="G448" s="41">
        <v>775</v>
      </c>
      <c r="H448" s="44">
        <f>G448/F448</f>
        <v>0.775</v>
      </c>
      <c r="I448" s="66">
        <f>G448/G$613</f>
        <v>4.605633289731357E-05</v>
      </c>
    </row>
    <row r="449" spans="4:9" s="8" customFormat="1" ht="12.75">
      <c r="D449" s="13"/>
      <c r="F449" s="11"/>
      <c r="G449" s="11"/>
      <c r="H449" s="44"/>
      <c r="I449" s="66"/>
    </row>
    <row r="450" spans="2:9" s="39" customFormat="1" ht="12.75">
      <c r="B450" s="39" t="s">
        <v>369</v>
      </c>
      <c r="D450" s="40"/>
      <c r="F450" s="41"/>
      <c r="G450" s="41"/>
      <c r="H450" s="44"/>
      <c r="I450" s="66"/>
    </row>
    <row r="451" spans="2:9" s="39" customFormat="1" ht="12.75">
      <c r="B451" s="39" t="s">
        <v>165</v>
      </c>
      <c r="D451" s="40"/>
      <c r="F451" s="41">
        <v>1200</v>
      </c>
      <c r="G451" s="41">
        <v>800</v>
      </c>
      <c r="H451" s="44">
        <f>G451/F451</f>
        <v>0.6666666666666666</v>
      </c>
      <c r="I451" s="66">
        <f>G451/G$613</f>
        <v>4.754202105529143E-05</v>
      </c>
    </row>
    <row r="452" spans="4:9" s="39" customFormat="1" ht="12.75">
      <c r="D452" s="40"/>
      <c r="F452" s="41"/>
      <c r="G452" s="41"/>
      <c r="H452" s="44"/>
      <c r="I452" s="66"/>
    </row>
    <row r="453" spans="2:9" s="39" customFormat="1" ht="12.75">
      <c r="B453" s="39" t="s">
        <v>370</v>
      </c>
      <c r="D453" s="40"/>
      <c r="F453" s="41"/>
      <c r="G453" s="41"/>
      <c r="H453" s="42"/>
      <c r="I453" s="60"/>
    </row>
    <row r="454" spans="2:9" s="39" customFormat="1" ht="12.75">
      <c r="B454" s="39" t="s">
        <v>153</v>
      </c>
      <c r="D454" s="40"/>
      <c r="F454" s="41">
        <v>36615</v>
      </c>
      <c r="G454" s="41">
        <v>36615</v>
      </c>
      <c r="H454" s="44">
        <f>G454/F454</f>
        <v>1</v>
      </c>
      <c r="I454" s="66">
        <f>G454/G$613</f>
        <v>0.0021759388761743697</v>
      </c>
    </row>
    <row r="455" spans="4:9" s="39" customFormat="1" ht="12.75">
      <c r="D455" s="40"/>
      <c r="F455" s="41"/>
      <c r="G455" s="41"/>
      <c r="H455" s="44"/>
      <c r="I455" s="66"/>
    </row>
    <row r="456" spans="2:9" s="39" customFormat="1" ht="12.75">
      <c r="B456" s="39" t="s">
        <v>371</v>
      </c>
      <c r="D456" s="40"/>
      <c r="F456" s="41">
        <v>0</v>
      </c>
      <c r="G456" s="41">
        <v>0</v>
      </c>
      <c r="H456" s="44"/>
      <c r="I456" s="66">
        <f>G456/G$613</f>
        <v>0</v>
      </c>
    </row>
    <row r="457" spans="4:9" s="8" customFormat="1" ht="12.75">
      <c r="D457" s="13"/>
      <c r="F457" s="11"/>
      <c r="G457" s="11"/>
      <c r="H457" s="42"/>
      <c r="I457" s="60"/>
    </row>
    <row r="458" spans="1:9" s="21" customFormat="1" ht="12.75">
      <c r="A458" s="21" t="s">
        <v>79</v>
      </c>
      <c r="B458" s="21" t="s">
        <v>31</v>
      </c>
      <c r="D458" s="22"/>
      <c r="F458" s="24">
        <f>SUM(F460:F462)</f>
        <v>324705</v>
      </c>
      <c r="G458" s="24">
        <f>SUM(G460:G462)</f>
        <v>305517</v>
      </c>
      <c r="H458" s="45">
        <f>G458/F458</f>
        <v>0.94090636115859</v>
      </c>
      <c r="I458" s="65">
        <f>G458/G$613</f>
        <v>0.01815611955843684</v>
      </c>
    </row>
    <row r="459" spans="2:9" ht="12.75">
      <c r="B459" t="s">
        <v>297</v>
      </c>
      <c r="F459" s="5"/>
      <c r="G459" s="5"/>
      <c r="I459" s="60"/>
    </row>
    <row r="460" spans="2:9" ht="12.75">
      <c r="B460" t="s">
        <v>296</v>
      </c>
      <c r="F460" s="25">
        <f>333700-10000-5000</f>
        <v>318700</v>
      </c>
      <c r="G460" s="25">
        <f>308415-4998</f>
        <v>303417</v>
      </c>
      <c r="H460" s="42">
        <f>G460/F460</f>
        <v>0.9520458111076248</v>
      </c>
      <c r="I460" s="60">
        <f>G460/G$613</f>
        <v>0.0180313217531667</v>
      </c>
    </row>
    <row r="461" spans="2:9" ht="12.75">
      <c r="B461" t="s">
        <v>372</v>
      </c>
      <c r="F461" s="25">
        <v>3905</v>
      </c>
      <c r="G461" s="25">
        <v>0</v>
      </c>
      <c r="H461" s="42">
        <f>G461/F461</f>
        <v>0</v>
      </c>
      <c r="I461" s="60">
        <f>G461/G$613</f>
        <v>0</v>
      </c>
    </row>
    <row r="462" spans="2:9" ht="12.75">
      <c r="B462" t="s">
        <v>373</v>
      </c>
      <c r="F462" s="25">
        <v>2100</v>
      </c>
      <c r="G462" s="25">
        <v>2100</v>
      </c>
      <c r="H462" s="42">
        <f>G462/F462</f>
        <v>1</v>
      </c>
      <c r="I462" s="60">
        <f>G462/G$613</f>
        <v>0.00012479780527014002</v>
      </c>
    </row>
    <row r="463" spans="6:9" ht="12.75">
      <c r="F463" s="5"/>
      <c r="G463" s="5"/>
      <c r="I463" s="60"/>
    </row>
    <row r="464" spans="1:9" s="3" customFormat="1" ht="12.75">
      <c r="A464" s="3" t="s">
        <v>258</v>
      </c>
      <c r="B464" s="3" t="s">
        <v>262</v>
      </c>
      <c r="D464" s="10"/>
      <c r="F464" s="4">
        <f>SUM(F466:F483)</f>
        <v>2391949</v>
      </c>
      <c r="G464" s="4">
        <f>SUM(G466:G483)</f>
        <v>2270099</v>
      </c>
      <c r="H464" s="45">
        <f>G464/F464</f>
        <v>0.9490582784164713</v>
      </c>
      <c r="I464" s="65">
        <f>G464/G$613</f>
        <v>0.13490636806949502</v>
      </c>
    </row>
    <row r="465" spans="2:9" s="20" customFormat="1" ht="12.75">
      <c r="B465" s="48" t="s">
        <v>527</v>
      </c>
      <c r="D465" s="27"/>
      <c r="F465" s="25"/>
      <c r="G465" s="25"/>
      <c r="H465" s="42"/>
      <c r="I465" s="60"/>
    </row>
    <row r="466" spans="2:9" s="20" customFormat="1" ht="12.75">
      <c r="B466" s="48" t="s">
        <v>526</v>
      </c>
      <c r="D466" s="27"/>
      <c r="F466" s="25">
        <f>1040280-4700</f>
        <v>1035580</v>
      </c>
      <c r="G466" s="25">
        <f>1007605-4462</f>
        <v>1003143</v>
      </c>
      <c r="H466" s="42">
        <f>G466/F466</f>
        <v>0.968677456111551</v>
      </c>
      <c r="I466" s="60">
        <f>G466/G$613</f>
        <v>0.05961430703433526</v>
      </c>
    </row>
    <row r="467" spans="2:9" s="20" customFormat="1" ht="12.75">
      <c r="B467" s="20" t="s">
        <v>28</v>
      </c>
      <c r="D467" s="27"/>
      <c r="E467" s="20" t="s">
        <v>138</v>
      </c>
      <c r="F467" s="25"/>
      <c r="G467" s="25"/>
      <c r="H467" s="42"/>
      <c r="I467" s="60"/>
    </row>
    <row r="468" spans="2:9" s="20" customFormat="1" ht="12.75">
      <c r="B468" s="20" t="s">
        <v>298</v>
      </c>
      <c r="D468" s="27"/>
      <c r="E468" s="27">
        <v>798996</v>
      </c>
      <c r="F468" s="25"/>
      <c r="G468" s="25"/>
      <c r="H468" s="42"/>
      <c r="I468" s="60"/>
    </row>
    <row r="469" spans="2:9" s="20" customFormat="1" ht="12.75">
      <c r="B469" s="20" t="s">
        <v>528</v>
      </c>
      <c r="D469" s="27"/>
      <c r="E469" s="27">
        <v>92172</v>
      </c>
      <c r="F469" s="25"/>
      <c r="G469" s="25"/>
      <c r="H469" s="42"/>
      <c r="I469" s="60"/>
    </row>
    <row r="470" spans="2:9" s="20" customFormat="1" ht="12.75">
      <c r="B470" s="20" t="s">
        <v>529</v>
      </c>
      <c r="D470" s="27"/>
      <c r="E470" s="27">
        <v>47629</v>
      </c>
      <c r="F470" s="25"/>
      <c r="G470" s="25"/>
      <c r="H470" s="42"/>
      <c r="I470" s="60"/>
    </row>
    <row r="471" spans="2:9" s="20" customFormat="1" ht="12.75">
      <c r="B471" s="48" t="s">
        <v>591</v>
      </c>
      <c r="D471" s="27"/>
      <c r="E471" s="27">
        <v>8058</v>
      </c>
      <c r="F471" s="25"/>
      <c r="G471" s="25"/>
      <c r="H471" s="42"/>
      <c r="I471" s="60"/>
    </row>
    <row r="472" spans="2:9" s="20" customFormat="1" ht="12.75">
      <c r="B472" s="20" t="s">
        <v>592</v>
      </c>
      <c r="D472" s="27"/>
      <c r="E472" s="27"/>
      <c r="F472" s="25"/>
      <c r="G472" s="25"/>
      <c r="H472" s="42"/>
      <c r="I472" s="60"/>
    </row>
    <row r="473" spans="2:9" s="20" customFormat="1" ht="12.75">
      <c r="B473" s="48" t="s">
        <v>530</v>
      </c>
      <c r="D473" s="27"/>
      <c r="E473" s="27">
        <f>35016+2916+2449+4029+921+580+9644+733</f>
        <v>56288</v>
      </c>
      <c r="F473" s="25"/>
      <c r="G473" s="25"/>
      <c r="H473" s="42"/>
      <c r="I473" s="60"/>
    </row>
    <row r="474" spans="2:9" s="20" customFormat="1" ht="12.75">
      <c r="B474" s="48" t="s">
        <v>531</v>
      </c>
      <c r="D474" s="27"/>
      <c r="E474" s="27"/>
      <c r="F474" s="25"/>
      <c r="G474" s="25"/>
      <c r="H474" s="42"/>
      <c r="I474" s="60"/>
    </row>
    <row r="475" spans="2:9" s="20" customFormat="1" ht="12.75">
      <c r="B475" s="20" t="s">
        <v>283</v>
      </c>
      <c r="D475" s="27"/>
      <c r="F475" s="25">
        <v>11600</v>
      </c>
      <c r="G475" s="25">
        <v>11472</v>
      </c>
      <c r="H475" s="42">
        <f aca="true" t="shared" si="15" ref="H475:H483">G475/F475</f>
        <v>0.9889655172413793</v>
      </c>
      <c r="I475" s="60">
        <f aca="true" t="shared" si="16" ref="I475:I483">G475/G$613</f>
        <v>0.0006817525819328792</v>
      </c>
    </row>
    <row r="476" spans="2:9" ht="12.75">
      <c r="B476" t="s">
        <v>284</v>
      </c>
      <c r="F476" s="5">
        <v>126992</v>
      </c>
      <c r="G476" s="5">
        <v>126875</v>
      </c>
      <c r="H476" s="42">
        <f t="shared" si="15"/>
        <v>0.9990786821217085</v>
      </c>
      <c r="I476" s="60">
        <f t="shared" si="16"/>
        <v>0.007539867401737625</v>
      </c>
    </row>
    <row r="477" spans="2:9" ht="12.75">
      <c r="B477" t="s">
        <v>285</v>
      </c>
      <c r="F477" s="5">
        <f>206425+1500</f>
        <v>207925</v>
      </c>
      <c r="G477" s="5">
        <f>192413+1233</f>
        <v>193646</v>
      </c>
      <c r="H477" s="42">
        <f t="shared" si="15"/>
        <v>0.9313261993507275</v>
      </c>
      <c r="I477" s="60">
        <f t="shared" si="16"/>
        <v>0.011507902761591205</v>
      </c>
    </row>
    <row r="478" spans="2:9" ht="12.75">
      <c r="B478" t="s">
        <v>374</v>
      </c>
      <c r="F478" s="5">
        <v>120000</v>
      </c>
      <c r="G478" s="5">
        <v>108160</v>
      </c>
      <c r="H478" s="42">
        <f t="shared" si="15"/>
        <v>0.9013333333333333</v>
      </c>
      <c r="I478" s="60">
        <f t="shared" si="16"/>
        <v>0.006427681246675402</v>
      </c>
    </row>
    <row r="479" spans="2:9" ht="12.75">
      <c r="B479" t="s">
        <v>375</v>
      </c>
      <c r="F479" s="5">
        <v>1775</v>
      </c>
      <c r="G479" s="5">
        <v>1775</v>
      </c>
      <c r="H479" s="42">
        <f t="shared" si="15"/>
        <v>1</v>
      </c>
      <c r="I479" s="60">
        <f t="shared" si="16"/>
        <v>0.00010548385921642786</v>
      </c>
    </row>
    <row r="480" spans="2:9" ht="12.75">
      <c r="B480" t="s">
        <v>403</v>
      </c>
      <c r="F480" s="5">
        <v>209250</v>
      </c>
      <c r="G480" s="5">
        <v>175957</v>
      </c>
      <c r="H480" s="42">
        <f t="shared" si="15"/>
        <v>0.8408936678614098</v>
      </c>
      <c r="I480" s="60">
        <f t="shared" si="16"/>
        <v>0.010456689248532392</v>
      </c>
    </row>
    <row r="481" spans="2:9" ht="12.75">
      <c r="B481" t="s">
        <v>404</v>
      </c>
      <c r="F481" s="5">
        <f>443746-23700</f>
        <v>420046</v>
      </c>
      <c r="G481" s="5">
        <f>406458-13454</f>
        <v>393004</v>
      </c>
      <c r="H481" s="42">
        <f t="shared" si="15"/>
        <v>0.9356213367107412</v>
      </c>
      <c r="I481" s="60">
        <f t="shared" si="16"/>
        <v>0.023355255553517192</v>
      </c>
    </row>
    <row r="482" spans="2:9" ht="12.75">
      <c r="B482" t="s">
        <v>405</v>
      </c>
      <c r="F482" s="5">
        <v>201781</v>
      </c>
      <c r="G482" s="5">
        <v>199067</v>
      </c>
      <c r="H482" s="42">
        <f t="shared" si="15"/>
        <v>0.9865497742602128</v>
      </c>
      <c r="I482" s="60">
        <f t="shared" si="16"/>
        <v>0.011830059381767124</v>
      </c>
    </row>
    <row r="483" spans="2:9" ht="12.75">
      <c r="B483" t="s">
        <v>406</v>
      </c>
      <c r="F483" s="5">
        <v>57000</v>
      </c>
      <c r="G483" s="5">
        <v>57000</v>
      </c>
      <c r="H483" s="42">
        <f t="shared" si="15"/>
        <v>1</v>
      </c>
      <c r="I483" s="60">
        <f t="shared" si="16"/>
        <v>0.0033873690001895145</v>
      </c>
    </row>
    <row r="484" spans="6:9" ht="12.75">
      <c r="F484" s="5"/>
      <c r="G484" s="5"/>
      <c r="I484" s="60"/>
    </row>
    <row r="485" spans="1:9" s="21" customFormat="1" ht="12.75">
      <c r="A485" s="21" t="s">
        <v>58</v>
      </c>
      <c r="B485" s="21" t="s">
        <v>59</v>
      </c>
      <c r="D485" s="22"/>
      <c r="F485" s="24">
        <f>SUM(F486:F495)</f>
        <v>256765</v>
      </c>
      <c r="G485" s="24">
        <f>SUM(G486:G495)</f>
        <v>222815</v>
      </c>
      <c r="H485" s="45">
        <f>G485/F485</f>
        <v>0.8677779292349035</v>
      </c>
      <c r="I485" s="65">
        <f>G485/G$613</f>
        <v>0.01324134427679345</v>
      </c>
    </row>
    <row r="486" spans="2:9" s="20" customFormat="1" ht="12.75">
      <c r="B486" s="20" t="s">
        <v>80</v>
      </c>
      <c r="D486" s="27"/>
      <c r="F486" s="25">
        <v>127221</v>
      </c>
      <c r="G486" s="25">
        <v>123311</v>
      </c>
      <c r="H486" s="42">
        <f>G486/F486</f>
        <v>0.9692660802854874</v>
      </c>
      <c r="I486" s="60">
        <f>G486/G$613</f>
        <v>0.007328067697936302</v>
      </c>
    </row>
    <row r="487" spans="2:9" ht="12.75">
      <c r="B487" t="s">
        <v>286</v>
      </c>
      <c r="F487" s="5">
        <v>61254</v>
      </c>
      <c r="G487" s="5">
        <v>61128</v>
      </c>
      <c r="H487" s="42">
        <f>G487/F487</f>
        <v>0.9979429914781075</v>
      </c>
      <c r="I487" s="60">
        <f>G487/G$613</f>
        <v>0.003632685828834818</v>
      </c>
    </row>
    <row r="488" spans="2:9" ht="12.75">
      <c r="B488" t="s">
        <v>28</v>
      </c>
      <c r="D488" s="5"/>
      <c r="F488" s="5"/>
      <c r="G488" s="5"/>
      <c r="I488" s="60"/>
    </row>
    <row r="489" spans="2:9" ht="12.75">
      <c r="B489" t="s">
        <v>29</v>
      </c>
      <c r="D489" s="6">
        <f>24970+10502+571</f>
        <v>36043</v>
      </c>
      <c r="F489" s="5"/>
      <c r="G489" s="5"/>
      <c r="I489" s="60"/>
    </row>
    <row r="490" spans="2:9" ht="12.75">
      <c r="B490" t="s">
        <v>30</v>
      </c>
      <c r="D490" s="6">
        <f>432+59+881+2082+1414+6800</f>
        <v>11668</v>
      </c>
      <c r="F490" s="5"/>
      <c r="G490" s="5"/>
      <c r="I490" s="60"/>
    </row>
    <row r="491" spans="2:9" ht="12.75">
      <c r="B491" t="s">
        <v>128</v>
      </c>
      <c r="D491" s="6">
        <f>5745+1034+141+1499+3798+1200</f>
        <v>13417</v>
      </c>
      <c r="E491" s="6"/>
      <c r="F491" s="5"/>
      <c r="G491" s="5"/>
      <c r="I491" s="60"/>
    </row>
    <row r="492" spans="2:9" ht="12.75">
      <c r="B492" t="s">
        <v>376</v>
      </c>
      <c r="E492" s="6"/>
      <c r="F492" s="5">
        <v>63030</v>
      </c>
      <c r="G492" s="5">
        <v>33318</v>
      </c>
      <c r="H492" s="42">
        <f>G492/F492</f>
        <v>0.5286054259876249</v>
      </c>
      <c r="I492" s="60">
        <f>G492/G$613</f>
        <v>0.00198000632190025</v>
      </c>
    </row>
    <row r="493" spans="2:9" ht="12.75">
      <c r="B493" t="s">
        <v>217</v>
      </c>
      <c r="F493" s="5">
        <v>2980</v>
      </c>
      <c r="G493" s="5">
        <v>2778</v>
      </c>
      <c r="H493" s="42">
        <f>G493/F493</f>
        <v>0.9322147651006711</v>
      </c>
      <c r="I493" s="60">
        <f>G493/G$613</f>
        <v>0.00016508966811449948</v>
      </c>
    </row>
    <row r="494" spans="2:9" ht="12.75">
      <c r="B494" s="20" t="s">
        <v>218</v>
      </c>
      <c r="F494" s="5"/>
      <c r="G494" s="5"/>
      <c r="I494" s="60"/>
    </row>
    <row r="495" spans="2:9" ht="12.75">
      <c r="B495" s="20" t="s">
        <v>153</v>
      </c>
      <c r="F495" s="5">
        <v>2280</v>
      </c>
      <c r="G495" s="5">
        <v>2280</v>
      </c>
      <c r="H495" s="42">
        <f>G495/F495</f>
        <v>1</v>
      </c>
      <c r="I495" s="60">
        <f>G495/G$613</f>
        <v>0.00013549476000758058</v>
      </c>
    </row>
    <row r="496" spans="2:9" ht="12.75">
      <c r="B496" s="20"/>
      <c r="F496" s="5"/>
      <c r="G496" s="5"/>
      <c r="I496" s="60"/>
    </row>
    <row r="497" spans="1:9" s="3" customFormat="1" ht="12.75">
      <c r="A497" s="3" t="s">
        <v>60</v>
      </c>
      <c r="B497" s="3" t="s">
        <v>81</v>
      </c>
      <c r="D497" s="10"/>
      <c r="F497" s="4">
        <f>SUM(F498:F514)</f>
        <v>1594469</v>
      </c>
      <c r="G497" s="4">
        <f>SUM(G498:G514)</f>
        <v>1552801</v>
      </c>
      <c r="H497" s="45">
        <f aca="true" t="shared" si="17" ref="H497:H505">G497/F497</f>
        <v>0.973867162045797</v>
      </c>
      <c r="I497" s="65">
        <f>G497/G$613</f>
        <v>0.09227912229584699</v>
      </c>
    </row>
    <row r="498" spans="2:9" s="53" customFormat="1" ht="12.75">
      <c r="B498" s="53" t="s">
        <v>219</v>
      </c>
      <c r="D498" s="54"/>
      <c r="F498" s="55">
        <v>671530</v>
      </c>
      <c r="G498" s="55">
        <v>669804</v>
      </c>
      <c r="H498" s="46">
        <f t="shared" si="17"/>
        <v>0.9974297499739401</v>
      </c>
      <c r="I498" s="60">
        <f>G498/G$613</f>
        <v>0.039804794838648024</v>
      </c>
    </row>
    <row r="499" spans="2:9" ht="12.75">
      <c r="B499" t="s">
        <v>220</v>
      </c>
      <c r="F499" s="5">
        <v>284030</v>
      </c>
      <c r="G499" s="5">
        <v>280546</v>
      </c>
      <c r="H499" s="42">
        <f t="shared" si="17"/>
        <v>0.9877336901031581</v>
      </c>
      <c r="I499" s="60">
        <f>G499/G$613</f>
        <v>0.016672154798722236</v>
      </c>
    </row>
    <row r="500" spans="2:9" ht="12.75">
      <c r="B500" t="s">
        <v>532</v>
      </c>
      <c r="F500" s="5">
        <v>19450</v>
      </c>
      <c r="G500" s="5">
        <v>17131</v>
      </c>
      <c r="H500" s="42">
        <f t="shared" si="17"/>
        <v>0.8807712082262211</v>
      </c>
      <c r="I500" s="60">
        <f>G500/G$613</f>
        <v>0.0010180529533727468</v>
      </c>
    </row>
    <row r="501" spans="2:9" ht="12.75">
      <c r="B501" t="s">
        <v>221</v>
      </c>
      <c r="F501" s="5">
        <v>227000</v>
      </c>
      <c r="G501" s="5">
        <v>226428</v>
      </c>
      <c r="H501" s="42">
        <f t="shared" si="17"/>
        <v>0.9974801762114538</v>
      </c>
      <c r="I501" s="60">
        <f>G501/G$613</f>
        <v>0.01345605592938441</v>
      </c>
    </row>
    <row r="502" spans="6:9" ht="12.75">
      <c r="F502" s="5"/>
      <c r="G502" s="5"/>
      <c r="I502" s="60"/>
    </row>
    <row r="503" spans="2:9" ht="12.75">
      <c r="B503" t="s">
        <v>377</v>
      </c>
      <c r="F503" s="5"/>
      <c r="G503" s="5"/>
      <c r="I503" s="60"/>
    </row>
    <row r="504" spans="2:9" ht="12.75">
      <c r="B504" t="s">
        <v>378</v>
      </c>
      <c r="F504" s="5">
        <v>6800</v>
      </c>
      <c r="G504" s="5">
        <v>6300</v>
      </c>
      <c r="H504" s="42">
        <f>G504/F504</f>
        <v>0.9264705882352942</v>
      </c>
      <c r="I504" s="60">
        <f>G504/G$613</f>
        <v>0.00037439341581042</v>
      </c>
    </row>
    <row r="505" spans="2:9" ht="12.75">
      <c r="B505" t="s">
        <v>299</v>
      </c>
      <c r="F505" s="5">
        <v>104400</v>
      </c>
      <c r="G505" s="5">
        <v>88490</v>
      </c>
      <c r="H505" s="42">
        <f t="shared" si="17"/>
        <v>0.8476053639846743</v>
      </c>
      <c r="I505" s="60">
        <f>G505/G$613</f>
        <v>0.005258741803978424</v>
      </c>
    </row>
    <row r="506" spans="2:9" ht="12.75">
      <c r="B506" t="s">
        <v>300</v>
      </c>
      <c r="F506" s="5">
        <v>10000</v>
      </c>
      <c r="G506" s="5">
        <v>0</v>
      </c>
      <c r="I506" s="60">
        <f>G506/G$613</f>
        <v>0</v>
      </c>
    </row>
    <row r="507" spans="2:9" ht="12.75">
      <c r="B507" t="s">
        <v>533</v>
      </c>
      <c r="F507" s="5">
        <v>9483</v>
      </c>
      <c r="G507" s="5">
        <v>9483</v>
      </c>
      <c r="H507" s="42">
        <f>G507/F507</f>
        <v>1</v>
      </c>
      <c r="I507" s="60">
        <f>G507/G$613</f>
        <v>0.0005635512320841608</v>
      </c>
    </row>
    <row r="508" spans="2:9" ht="13.5" customHeight="1">
      <c r="B508" s="20" t="s">
        <v>534</v>
      </c>
      <c r="F508" s="5"/>
      <c r="G508" s="5"/>
      <c r="I508" s="60"/>
    </row>
    <row r="509" spans="2:9" ht="13.5" customHeight="1">
      <c r="B509" s="20" t="s">
        <v>537</v>
      </c>
      <c r="F509" s="5">
        <v>178000</v>
      </c>
      <c r="G509" s="5">
        <v>178000</v>
      </c>
      <c r="H509" s="42">
        <f>G509/F509</f>
        <v>1</v>
      </c>
      <c r="I509" s="60">
        <f>G509/G$613</f>
        <v>0.010578099684802344</v>
      </c>
    </row>
    <row r="510" spans="2:9" ht="13.5" customHeight="1">
      <c r="B510" s="20" t="s">
        <v>535</v>
      </c>
      <c r="F510" s="5"/>
      <c r="G510" s="5"/>
      <c r="I510" s="60"/>
    </row>
    <row r="511" spans="2:9" ht="13.5" customHeight="1">
      <c r="B511" s="20" t="s">
        <v>536</v>
      </c>
      <c r="F511" s="5">
        <v>60795</v>
      </c>
      <c r="G511" s="5">
        <v>60795</v>
      </c>
      <c r="H511" s="42">
        <f>G511/F511</f>
        <v>1</v>
      </c>
      <c r="I511" s="60">
        <f>G511/G$613</f>
        <v>0.003612896462570553</v>
      </c>
    </row>
    <row r="512" spans="2:9" ht="12.75">
      <c r="B512" t="s">
        <v>538</v>
      </c>
      <c r="F512" s="5">
        <v>15000</v>
      </c>
      <c r="G512" s="5">
        <v>13524</v>
      </c>
      <c r="H512" s="42">
        <f>G512/F512</f>
        <v>0.9016</v>
      </c>
      <c r="I512" s="60">
        <f>G512/G$613</f>
        <v>0.0008036978659397016</v>
      </c>
    </row>
    <row r="513" spans="2:9" ht="12.75">
      <c r="B513" t="s">
        <v>539</v>
      </c>
      <c r="F513" s="5">
        <v>976</v>
      </c>
      <c r="G513" s="5">
        <v>0</v>
      </c>
      <c r="I513" s="60"/>
    </row>
    <row r="514" spans="2:9" ht="12.75">
      <c r="B514" t="s">
        <v>540</v>
      </c>
      <c r="F514" s="5">
        <f>55+6950</f>
        <v>7005</v>
      </c>
      <c r="G514" s="5">
        <v>2300</v>
      </c>
      <c r="H514" s="42">
        <f>G514/F514</f>
        <v>0.32833690221270523</v>
      </c>
      <c r="I514" s="60">
        <f>G514/G$613</f>
        <v>0.00013668331053396285</v>
      </c>
    </row>
    <row r="515" spans="6:9" ht="12.75">
      <c r="F515" s="5"/>
      <c r="G515" s="5"/>
      <c r="I515" s="60"/>
    </row>
    <row r="516" spans="1:9" s="3" customFormat="1" ht="12.75">
      <c r="A516" s="3" t="s">
        <v>86</v>
      </c>
      <c r="B516" s="3" t="s">
        <v>82</v>
      </c>
      <c r="D516" s="10"/>
      <c r="F516" s="4">
        <f>SUM(F517:F520)</f>
        <v>571350</v>
      </c>
      <c r="G516" s="4">
        <f>SUM(G517:G520)</f>
        <v>571350</v>
      </c>
      <c r="H516" s="45">
        <f>G516/F516</f>
        <v>1</v>
      </c>
      <c r="I516" s="65">
        <f>G516/G$613</f>
        <v>0.03395391716242595</v>
      </c>
    </row>
    <row r="517" spans="2:9" s="3" customFormat="1" ht="12.75">
      <c r="B517" t="s">
        <v>83</v>
      </c>
      <c r="D517" s="10"/>
      <c r="F517" s="25">
        <v>271000</v>
      </c>
      <c r="G517" s="25">
        <v>271000</v>
      </c>
      <c r="H517" s="42">
        <f>G517/F517</f>
        <v>1</v>
      </c>
      <c r="I517" s="60">
        <f>G517/G$613</f>
        <v>0.01610485963247997</v>
      </c>
    </row>
    <row r="518" spans="2:9" ht="12.75">
      <c r="B518" t="s">
        <v>84</v>
      </c>
      <c r="F518" s="25">
        <v>220350</v>
      </c>
      <c r="G518" s="25">
        <v>220350</v>
      </c>
      <c r="H518" s="42">
        <f>G518/F518</f>
        <v>1</v>
      </c>
      <c r="I518" s="60">
        <f>G518/G$613</f>
        <v>0.013094855424416834</v>
      </c>
    </row>
    <row r="519" spans="2:9" ht="12.75">
      <c r="B519" t="s">
        <v>166</v>
      </c>
      <c r="F519" s="5">
        <v>35000</v>
      </c>
      <c r="G519" s="5">
        <v>35000</v>
      </c>
      <c r="H519" s="42">
        <f>G519/F519</f>
        <v>1</v>
      </c>
      <c r="I519" s="60">
        <f>G519/G$613</f>
        <v>0.002079963421169</v>
      </c>
    </row>
    <row r="520" spans="2:9" ht="12.75">
      <c r="B520" t="s">
        <v>167</v>
      </c>
      <c r="F520" s="5">
        <v>45000</v>
      </c>
      <c r="G520" s="5">
        <v>45000</v>
      </c>
      <c r="H520" s="42">
        <f>G520/F520</f>
        <v>1</v>
      </c>
      <c r="I520" s="60">
        <f>G520/G$613</f>
        <v>0.002674238684360143</v>
      </c>
    </row>
    <row r="521" spans="6:9" ht="12.75">
      <c r="F521" s="5"/>
      <c r="G521" s="5"/>
      <c r="I521" s="60"/>
    </row>
    <row r="522" spans="1:9" s="3" customFormat="1" ht="12.75">
      <c r="A522" s="3" t="s">
        <v>85</v>
      </c>
      <c r="B522" s="3" t="s">
        <v>32</v>
      </c>
      <c r="D522" s="10"/>
      <c r="F522" s="4">
        <f>SUM(F523)</f>
        <v>50316</v>
      </c>
      <c r="G522" s="4">
        <f>SUM(G523)</f>
        <v>49214</v>
      </c>
      <c r="H522" s="45">
        <f>G522/F522</f>
        <v>0.978098417998251</v>
      </c>
      <c r="I522" s="65">
        <f>G522/G$613</f>
        <v>0.0029246662802688904</v>
      </c>
    </row>
    <row r="523" spans="2:9" ht="12.75">
      <c r="B523" t="s">
        <v>379</v>
      </c>
      <c r="F523" s="5">
        <f>283694-233378</f>
        <v>50316</v>
      </c>
      <c r="G523" s="5">
        <f>282591-233377</f>
        <v>49214</v>
      </c>
      <c r="H523" s="42">
        <f>G523/F523</f>
        <v>0.978098417998251</v>
      </c>
      <c r="I523" s="60">
        <f>G523/G$613</f>
        <v>0.0029246662802688904</v>
      </c>
    </row>
    <row r="524" spans="6:9" ht="12.75">
      <c r="F524" s="5"/>
      <c r="G524" s="5"/>
      <c r="I524" s="60"/>
    </row>
    <row r="525" spans="6:9" ht="12.75">
      <c r="F525" s="5"/>
      <c r="G525" s="5"/>
      <c r="I525" s="60"/>
    </row>
    <row r="526" spans="1:9" s="14" customFormat="1" ht="15">
      <c r="A526" s="7" t="s">
        <v>34</v>
      </c>
      <c r="B526" s="7"/>
      <c r="C526" s="7"/>
      <c r="D526" s="16"/>
      <c r="E526" s="7"/>
      <c r="F526" s="12">
        <f>F528+F538+F545+F552+F566+F570+F580+F584+F589+F608</f>
        <v>5443638</v>
      </c>
      <c r="G526" s="12">
        <f>G528+G538+G545+G552+G566+G570+G580+G584+G589+G608</f>
        <v>1460611</v>
      </c>
      <c r="H526" s="47">
        <f>G526/F526</f>
        <v>0.2683152333053741</v>
      </c>
      <c r="I526" s="64">
        <f>G526/G$613</f>
        <v>0.08680049864448784</v>
      </c>
    </row>
    <row r="527" spans="1:9" ht="12.75">
      <c r="A527" s="3" t="s">
        <v>21</v>
      </c>
      <c r="F527" s="5"/>
      <c r="G527" s="5"/>
      <c r="I527" s="60"/>
    </row>
    <row r="528" spans="1:9" s="21" customFormat="1" ht="12.75">
      <c r="A528" s="21" t="s">
        <v>105</v>
      </c>
      <c r="B528" s="21" t="s">
        <v>36</v>
      </c>
      <c r="D528" s="22"/>
      <c r="F528" s="24">
        <f>SUM(F529:F536)</f>
        <v>427464</v>
      </c>
      <c r="G528" s="24">
        <f>SUM(G529:G536)</f>
        <v>363032</v>
      </c>
      <c r="H528" s="45">
        <f>G528/F528</f>
        <v>0.8492691782231954</v>
      </c>
      <c r="I528" s="65">
        <f>G528/G$613</f>
        <v>0.021574093734680697</v>
      </c>
    </row>
    <row r="529" spans="1:9" ht="12.75">
      <c r="A529" s="3"/>
      <c r="B529" t="s">
        <v>380</v>
      </c>
      <c r="F529" s="5">
        <v>305724</v>
      </c>
      <c r="G529" s="5">
        <v>268012</v>
      </c>
      <c r="H529" s="42">
        <f>G529/F529</f>
        <v>0.8766469102850938</v>
      </c>
      <c r="I529" s="60">
        <f>G529/G$613</f>
        <v>0.01592729018383846</v>
      </c>
    </row>
    <row r="530" spans="2:9" ht="12.75">
      <c r="B530" t="s">
        <v>411</v>
      </c>
      <c r="F530" s="6">
        <v>17360</v>
      </c>
      <c r="G530" s="6">
        <v>17214</v>
      </c>
      <c r="H530" s="42">
        <f>G530/F530</f>
        <v>0.991589861751152</v>
      </c>
      <c r="I530" s="60">
        <f>G530/G$613</f>
        <v>0.0010229854380572334</v>
      </c>
    </row>
    <row r="531" spans="2:9" ht="12.75">
      <c r="B531" t="s">
        <v>415</v>
      </c>
      <c r="I531" s="60"/>
    </row>
    <row r="532" spans="2:9" ht="12.75">
      <c r="B532" t="s">
        <v>416</v>
      </c>
      <c r="F532" s="5">
        <v>39880</v>
      </c>
      <c r="G532" s="5">
        <v>38834</v>
      </c>
      <c r="H532" s="42">
        <f>G532/F532</f>
        <v>0.9737713139418255</v>
      </c>
      <c r="I532" s="60">
        <f>G532/G$613</f>
        <v>0.002307808557076484</v>
      </c>
    </row>
    <row r="533" spans="2:9" ht="12.75">
      <c r="B533" t="s">
        <v>410</v>
      </c>
      <c r="F533" s="5">
        <v>9500</v>
      </c>
      <c r="G533" s="5">
        <v>1769</v>
      </c>
      <c r="H533" s="42">
        <f>G533/F533</f>
        <v>0.18621052631578947</v>
      </c>
      <c r="I533" s="60">
        <f>G533/G$613</f>
        <v>0.00010512729405851317</v>
      </c>
    </row>
    <row r="534" spans="2:9" ht="12.75">
      <c r="B534" t="s">
        <v>412</v>
      </c>
      <c r="F534" s="5"/>
      <c r="G534" s="5"/>
      <c r="I534" s="60"/>
    </row>
    <row r="535" spans="2:9" ht="12.75">
      <c r="B535" t="s">
        <v>413</v>
      </c>
      <c r="F535" s="5"/>
      <c r="G535" s="5"/>
      <c r="I535" s="60"/>
    </row>
    <row r="536" spans="2:9" ht="12.75">
      <c r="B536" t="s">
        <v>414</v>
      </c>
      <c r="F536" s="5">
        <v>55000</v>
      </c>
      <c r="G536" s="5">
        <v>37203</v>
      </c>
      <c r="H536" s="42">
        <f>G536/F536</f>
        <v>0.6764181818181818</v>
      </c>
      <c r="I536" s="60">
        <f>G536/G$613</f>
        <v>0.002210882261650009</v>
      </c>
    </row>
    <row r="537" spans="6:9" ht="12.75">
      <c r="F537" s="5"/>
      <c r="G537" s="5"/>
      <c r="I537" s="60"/>
    </row>
    <row r="538" spans="1:9" s="21" customFormat="1" ht="12.75">
      <c r="A538" s="21" t="s">
        <v>63</v>
      </c>
      <c r="B538" s="21" t="s">
        <v>64</v>
      </c>
      <c r="D538" s="22"/>
      <c r="F538" s="24">
        <f>SUM(F539:F543)</f>
        <v>2145801</v>
      </c>
      <c r="G538" s="24">
        <f>SUM(G539:G543)</f>
        <v>236342</v>
      </c>
      <c r="H538" s="45">
        <f>G538/F538</f>
        <v>0.11014162077471304</v>
      </c>
      <c r="I538" s="65">
        <f>G538/G$613</f>
        <v>0.014045220425312109</v>
      </c>
    </row>
    <row r="539" spans="2:9" ht="12.75">
      <c r="B539" t="s">
        <v>450</v>
      </c>
      <c r="F539" s="5">
        <v>119000</v>
      </c>
      <c r="G539" s="5">
        <v>118973</v>
      </c>
      <c r="H539" s="42">
        <f>G539/F539</f>
        <v>0.9997731092436974</v>
      </c>
      <c r="I539" s="60">
        <f>G539/G$613</f>
        <v>0.007070271088763984</v>
      </c>
    </row>
    <row r="540" spans="2:9" ht="12.75">
      <c r="B540" t="s">
        <v>417</v>
      </c>
      <c r="F540" s="5">
        <v>29377</v>
      </c>
      <c r="G540" s="5">
        <v>29280</v>
      </c>
      <c r="H540" s="42">
        <f>G540/F540</f>
        <v>0.9966980971508322</v>
      </c>
      <c r="I540" s="60">
        <f>G540/G$613</f>
        <v>0.0017400379706236663</v>
      </c>
    </row>
    <row r="541" spans="1:9" ht="12.75">
      <c r="A541" t="s">
        <v>222</v>
      </c>
      <c r="B541" t="s">
        <v>418</v>
      </c>
      <c r="F541" s="5"/>
      <c r="G541" s="5"/>
      <c r="I541" s="60"/>
    </row>
    <row r="542" spans="2:9" ht="12.75">
      <c r="B542" t="s">
        <v>419</v>
      </c>
      <c r="F542" s="5">
        <v>67424</v>
      </c>
      <c r="G542" s="5">
        <v>67306</v>
      </c>
      <c r="H542" s="42">
        <f>G542/F542</f>
        <v>0.998249881347888</v>
      </c>
      <c r="I542" s="60">
        <f>G542/G$613</f>
        <v>0.003999829086434307</v>
      </c>
    </row>
    <row r="543" spans="2:9" ht="12.75">
      <c r="B543" t="s">
        <v>381</v>
      </c>
      <c r="F543" s="5">
        <v>1930000</v>
      </c>
      <c r="G543" s="5">
        <v>20783</v>
      </c>
      <c r="H543" s="42">
        <f>G543/F543</f>
        <v>0.01076839378238342</v>
      </c>
      <c r="I543" s="63">
        <f>H543/G543</f>
        <v>5.181347150259067E-07</v>
      </c>
    </row>
    <row r="544" spans="6:7" ht="12.75">
      <c r="F544" s="5"/>
      <c r="G544" s="5"/>
    </row>
    <row r="545" spans="1:9" s="21" customFormat="1" ht="12.75">
      <c r="A545" s="21" t="s">
        <v>39</v>
      </c>
      <c r="B545" s="21" t="s">
        <v>420</v>
      </c>
      <c r="D545" s="22"/>
      <c r="F545" s="24">
        <f>SUM(F546:F550)</f>
        <v>111350</v>
      </c>
      <c r="G545" s="24">
        <f>SUM(G546:G550)</f>
        <v>11104</v>
      </c>
      <c r="H545" s="45">
        <f>G545/F545</f>
        <v>0.09972159856308936</v>
      </c>
      <c r="I545" s="65">
        <f>G545/G$613</f>
        <v>0.000659883252247445</v>
      </c>
    </row>
    <row r="546" spans="2:7" ht="12.75">
      <c r="B546" t="s">
        <v>421</v>
      </c>
      <c r="F546" s="5">
        <v>100000</v>
      </c>
      <c r="G546" s="5">
        <v>0</v>
      </c>
    </row>
    <row r="547" spans="2:7" ht="12.75">
      <c r="B547" t="s">
        <v>422</v>
      </c>
      <c r="F547" s="5"/>
      <c r="G547" s="5"/>
    </row>
    <row r="548" spans="2:9" ht="12.75">
      <c r="B548" t="s">
        <v>423</v>
      </c>
      <c r="F548" s="5">
        <v>11300</v>
      </c>
      <c r="G548" s="5">
        <v>11054</v>
      </c>
      <c r="H548" s="42">
        <f>G548/F548</f>
        <v>0.9782300884955752</v>
      </c>
      <c r="I548" s="63">
        <f>H548/G548</f>
        <v>8.849557522123894E-05</v>
      </c>
    </row>
    <row r="549" spans="2:7" ht="12.75">
      <c r="B549" t="s">
        <v>424</v>
      </c>
      <c r="F549" s="5"/>
      <c r="G549" s="5"/>
    </row>
    <row r="550" spans="2:9" ht="12.75">
      <c r="B550" t="s">
        <v>425</v>
      </c>
      <c r="F550" s="5">
        <v>50</v>
      </c>
      <c r="G550" s="5">
        <v>50</v>
      </c>
      <c r="H550" s="42">
        <f>G550/F550</f>
        <v>1</v>
      </c>
      <c r="I550" s="63">
        <f>H550/G550</f>
        <v>0.02</v>
      </c>
    </row>
    <row r="551" spans="6:7" ht="12.75">
      <c r="F551" s="5"/>
      <c r="G551" s="5"/>
    </row>
    <row r="552" spans="1:9" s="21" customFormat="1" ht="12.75">
      <c r="A552" s="21" t="s">
        <v>47</v>
      </c>
      <c r="B552" s="21" t="s">
        <v>48</v>
      </c>
      <c r="D552" s="22"/>
      <c r="F552" s="24">
        <f>SUM(F553:F563)</f>
        <v>138914</v>
      </c>
      <c r="G552" s="24">
        <f>SUM(G553:G563)</f>
        <v>132600</v>
      </c>
      <c r="H552" s="45">
        <f aca="true" t="shared" si="18" ref="H552:I555">G552/F552</f>
        <v>0.9545474178268569</v>
      </c>
      <c r="I552" s="61">
        <f t="shared" si="18"/>
        <v>7.198698475315663E-06</v>
      </c>
    </row>
    <row r="553" spans="2:9" s="20" customFormat="1" ht="12.75">
      <c r="B553" s="20" t="s">
        <v>291</v>
      </c>
      <c r="D553" s="27"/>
      <c r="F553" s="25">
        <v>32878</v>
      </c>
      <c r="G553" s="25">
        <v>32871</v>
      </c>
      <c r="H553" s="42">
        <f t="shared" si="18"/>
        <v>0.9997870916722429</v>
      </c>
      <c r="I553" s="63">
        <f t="shared" si="18"/>
        <v>3.041547539388041E-05</v>
      </c>
    </row>
    <row r="554" spans="2:9" ht="12.75">
      <c r="B554" t="s">
        <v>382</v>
      </c>
      <c r="F554" s="5">
        <v>5600</v>
      </c>
      <c r="G554" s="5">
        <v>5573</v>
      </c>
      <c r="H554" s="42">
        <f t="shared" si="18"/>
        <v>0.9951785714285715</v>
      </c>
      <c r="I554" s="63">
        <f t="shared" si="18"/>
        <v>0.00017857142857142857</v>
      </c>
    </row>
    <row r="555" spans="2:9" s="20" customFormat="1" ht="12.75">
      <c r="B555" s="20" t="s">
        <v>429</v>
      </c>
      <c r="D555" s="27"/>
      <c r="F555" s="25">
        <v>14122</v>
      </c>
      <c r="G555" s="25">
        <v>14121</v>
      </c>
      <c r="H555" s="42">
        <f t="shared" si="18"/>
        <v>0.9999291885002124</v>
      </c>
      <c r="I555" s="63">
        <f t="shared" si="18"/>
        <v>7.08114997875655E-05</v>
      </c>
    </row>
    <row r="556" spans="4:9" s="20" customFormat="1" ht="12.75">
      <c r="D556" s="27"/>
      <c r="F556" s="25"/>
      <c r="G556" s="25"/>
      <c r="H556" s="42"/>
      <c r="I556" s="63"/>
    </row>
    <row r="557" spans="4:9" s="20" customFormat="1" ht="12.75">
      <c r="D557" s="27"/>
      <c r="F557" s="25"/>
      <c r="G557" s="25"/>
      <c r="H557" s="42"/>
      <c r="I557" s="63"/>
    </row>
    <row r="558" spans="4:9" s="20" customFormat="1" ht="12.75">
      <c r="D558" s="27"/>
      <c r="F558" s="25"/>
      <c r="G558" s="25"/>
      <c r="H558" s="42"/>
      <c r="I558" s="63"/>
    </row>
    <row r="559" spans="2:9" s="20" customFormat="1" ht="12.75">
      <c r="B559" s="20" t="s">
        <v>430</v>
      </c>
      <c r="D559" s="27"/>
      <c r="F559" s="25"/>
      <c r="G559" s="25"/>
      <c r="H559" s="42"/>
      <c r="I559" s="63"/>
    </row>
    <row r="560" spans="1:9" s="20" customFormat="1" ht="12.75">
      <c r="A560" s="20" t="s">
        <v>222</v>
      </c>
      <c r="B560" s="20" t="s">
        <v>426</v>
      </c>
      <c r="D560" s="27"/>
      <c r="F560" s="25"/>
      <c r="G560" s="25"/>
      <c r="H560" s="42"/>
      <c r="I560" s="63"/>
    </row>
    <row r="561" spans="2:9" s="20" customFormat="1" ht="12.75">
      <c r="B561" s="20" t="s">
        <v>427</v>
      </c>
      <c r="D561" s="27"/>
      <c r="F561" s="25"/>
      <c r="G561" s="25"/>
      <c r="H561" s="42"/>
      <c r="I561" s="63"/>
    </row>
    <row r="562" spans="2:9" s="20" customFormat="1" ht="12.75">
      <c r="B562" s="20" t="s">
        <v>464</v>
      </c>
      <c r="D562" s="27"/>
      <c r="F562" s="25"/>
      <c r="G562" s="25"/>
      <c r="H562" s="42"/>
      <c r="I562" s="60"/>
    </row>
    <row r="563" spans="2:9" s="20" customFormat="1" ht="12.75">
      <c r="B563" s="20" t="s">
        <v>428</v>
      </c>
      <c r="D563" s="27"/>
      <c r="F563" s="25">
        <f>4000+56405+25909</f>
        <v>86314</v>
      </c>
      <c r="G563" s="25">
        <f>3570+50613+25852</f>
        <v>80035</v>
      </c>
      <c r="H563" s="42">
        <f>G563/F563</f>
        <v>0.9272539796556758</v>
      </c>
      <c r="I563" s="63">
        <f>H563/G563</f>
        <v>1.1585606043052113E-05</v>
      </c>
    </row>
    <row r="564" spans="4:9" s="20" customFormat="1" ht="12.75">
      <c r="D564" s="27"/>
      <c r="F564" s="25"/>
      <c r="G564" s="25"/>
      <c r="H564" s="42"/>
      <c r="I564" s="63"/>
    </row>
    <row r="565" spans="1:9" s="21" customFormat="1" ht="13.5" customHeight="1">
      <c r="A565" s="21" t="s">
        <v>51</v>
      </c>
      <c r="B565" s="21" t="s">
        <v>227</v>
      </c>
      <c r="D565" s="22"/>
      <c r="F565" s="24"/>
      <c r="G565" s="24"/>
      <c r="H565" s="45"/>
      <c r="I565" s="65"/>
    </row>
    <row r="566" spans="2:9" s="21" customFormat="1" ht="12.75">
      <c r="B566" s="21" t="s">
        <v>228</v>
      </c>
      <c r="D566" s="22"/>
      <c r="F566" s="24">
        <f>SUM(F567:F568)</f>
        <v>25000</v>
      </c>
      <c r="G566" s="24">
        <f>SUM(G567:G568)</f>
        <v>25000</v>
      </c>
      <c r="H566" s="45">
        <f>G566/F566</f>
        <v>1</v>
      </c>
      <c r="I566" s="65">
        <f>G566/G$613</f>
        <v>0.0014856881579778571</v>
      </c>
    </row>
    <row r="567" spans="2:9" s="20" customFormat="1" ht="12.75">
      <c r="B567" s="20" t="s">
        <v>384</v>
      </c>
      <c r="D567" s="27"/>
      <c r="F567" s="25"/>
      <c r="G567" s="25"/>
      <c r="H567" s="42"/>
      <c r="I567" s="63"/>
    </row>
    <row r="568" spans="2:9" s="20" customFormat="1" ht="12.75">
      <c r="B568" s="20" t="s">
        <v>383</v>
      </c>
      <c r="D568" s="27"/>
      <c r="F568" s="25">
        <v>25000</v>
      </c>
      <c r="G568" s="25">
        <v>25000</v>
      </c>
      <c r="H568" s="42">
        <f>G568/F568</f>
        <v>1</v>
      </c>
      <c r="I568" s="60">
        <f>G568/G$613</f>
        <v>0.0014856881579778571</v>
      </c>
    </row>
    <row r="569" spans="4:9" s="20" customFormat="1" ht="12.75">
      <c r="D569" s="27"/>
      <c r="F569" s="25"/>
      <c r="G569" s="25"/>
      <c r="H569" s="42"/>
      <c r="I569" s="60"/>
    </row>
    <row r="570" spans="1:9" s="21" customFormat="1" ht="12.75">
      <c r="A570" s="21" t="s">
        <v>57</v>
      </c>
      <c r="B570" s="21" t="s">
        <v>12</v>
      </c>
      <c r="D570" s="22"/>
      <c r="F570" s="24">
        <f>SUM(F571:F578)</f>
        <v>574189</v>
      </c>
      <c r="G570" s="24">
        <f>SUM(G571:G578)</f>
        <v>102900</v>
      </c>
      <c r="H570" s="45">
        <f>G570/F570</f>
        <v>0.17920928474770503</v>
      </c>
      <c r="I570" s="65">
        <f>G570/G$613</f>
        <v>0.00611509245823686</v>
      </c>
    </row>
    <row r="571" spans="2:9" ht="12.75">
      <c r="B571" t="s">
        <v>385</v>
      </c>
      <c r="F571" s="5">
        <v>64489</v>
      </c>
      <c r="G571" s="5">
        <v>64474</v>
      </c>
      <c r="H571" s="42">
        <f>G571/F571</f>
        <v>0.999767402192622</v>
      </c>
      <c r="I571" s="60">
        <f>G571/G$613</f>
        <v>0.0038315303318985747</v>
      </c>
    </row>
    <row r="572" spans="2:9" ht="12.75">
      <c r="B572" t="s">
        <v>386</v>
      </c>
      <c r="F572" s="5">
        <v>15000</v>
      </c>
      <c r="G572" s="5">
        <v>14630</v>
      </c>
      <c r="H572" s="42">
        <f>G572/F572</f>
        <v>0.9753333333333334</v>
      </c>
      <c r="I572" s="60">
        <f>G572/G$613</f>
        <v>0.000869424710048642</v>
      </c>
    </row>
    <row r="573" spans="2:9" ht="12.75">
      <c r="B573" t="s">
        <v>431</v>
      </c>
      <c r="F573" s="5">
        <v>3000</v>
      </c>
      <c r="G573" s="5">
        <v>2972</v>
      </c>
      <c r="H573" s="42">
        <f>G573/F573</f>
        <v>0.9906666666666667</v>
      </c>
      <c r="I573" s="60">
        <f>G573/G$613</f>
        <v>0.00017661860822040765</v>
      </c>
    </row>
    <row r="574" spans="2:9" ht="12.75">
      <c r="B574" t="s">
        <v>432</v>
      </c>
      <c r="F574" s="5">
        <v>11700</v>
      </c>
      <c r="G574" s="5">
        <v>11674</v>
      </c>
      <c r="H574" s="42">
        <f>G574/F574</f>
        <v>0.9977777777777778</v>
      </c>
      <c r="I574" s="60">
        <f>G574/G$613</f>
        <v>0.0006937569422493402</v>
      </c>
    </row>
    <row r="575" spans="2:9" ht="12.75">
      <c r="B575" t="s">
        <v>433</v>
      </c>
      <c r="F575" s="5"/>
      <c r="G575" s="5"/>
      <c r="I575" s="60"/>
    </row>
    <row r="576" spans="2:9" ht="12.75">
      <c r="B576" t="s">
        <v>0</v>
      </c>
      <c r="F576" s="5">
        <v>470000</v>
      </c>
      <c r="G576" s="5">
        <v>0</v>
      </c>
      <c r="H576" s="42">
        <f>G576/F576</f>
        <v>0</v>
      </c>
      <c r="I576" s="60">
        <f>G576/G$613</f>
        <v>0</v>
      </c>
    </row>
    <row r="577" spans="2:9" ht="12.75">
      <c r="B577" t="s">
        <v>434</v>
      </c>
      <c r="F577" s="5"/>
      <c r="G577" s="5"/>
      <c r="I577" s="60"/>
    </row>
    <row r="578" spans="2:9" ht="12.75">
      <c r="B578" t="s">
        <v>435</v>
      </c>
      <c r="F578" s="5">
        <v>10000</v>
      </c>
      <c r="G578" s="5">
        <v>9150</v>
      </c>
      <c r="H578" s="42">
        <f>G578/F578</f>
        <v>0.915</v>
      </c>
      <c r="I578" s="60">
        <f>G578/G$613</f>
        <v>0.0005437618658198957</v>
      </c>
    </row>
    <row r="579" spans="6:9" ht="12.75">
      <c r="F579" s="5"/>
      <c r="G579" s="5"/>
      <c r="I579" s="60"/>
    </row>
    <row r="580" spans="1:9" s="21" customFormat="1" ht="12.75">
      <c r="A580" s="21" t="s">
        <v>79</v>
      </c>
      <c r="B580" s="21" t="s">
        <v>31</v>
      </c>
      <c r="D580" s="22"/>
      <c r="F580" s="24">
        <f>SUM(F581:F582)</f>
        <v>15000</v>
      </c>
      <c r="G580" s="24">
        <f>SUM(G581:G582)</f>
        <v>4998</v>
      </c>
      <c r="H580" s="45">
        <f>G580/F580</f>
        <v>0.3332</v>
      </c>
      <c r="I580" s="65">
        <f>G580/G$613</f>
        <v>0.0002970187765429332</v>
      </c>
    </row>
    <row r="581" spans="2:9" ht="12.75">
      <c r="B581" t="s">
        <v>436</v>
      </c>
      <c r="F581" s="5">
        <v>10000</v>
      </c>
      <c r="G581" s="5">
        <v>0</v>
      </c>
      <c r="H581" s="42">
        <f>G581/F581</f>
        <v>0</v>
      </c>
      <c r="I581" s="60">
        <f>G581/G$613</f>
        <v>0</v>
      </c>
    </row>
    <row r="582" spans="2:9" ht="12.75">
      <c r="B582" t="s">
        <v>437</v>
      </c>
      <c r="F582" s="5">
        <v>5000</v>
      </c>
      <c r="G582" s="5">
        <v>4998</v>
      </c>
      <c r="H582" s="42">
        <f>G582/F582</f>
        <v>0.9996</v>
      </c>
      <c r="I582" s="60">
        <f>G582/G$613</f>
        <v>0.0002970187765429332</v>
      </c>
    </row>
    <row r="583" spans="6:9" ht="12.75">
      <c r="F583" s="5"/>
      <c r="G583" s="5"/>
      <c r="I583" s="60"/>
    </row>
    <row r="584" spans="1:9" s="21" customFormat="1" ht="12.75">
      <c r="A584" s="21" t="s">
        <v>261</v>
      </c>
      <c r="B584" s="21" t="s">
        <v>262</v>
      </c>
      <c r="D584" s="22"/>
      <c r="F584" s="24">
        <f>SUM(F585:F586)</f>
        <v>28400</v>
      </c>
      <c r="G584" s="24">
        <f>SUM(G585:G586)</f>
        <v>17916</v>
      </c>
      <c r="H584" s="45">
        <f>G584/F584</f>
        <v>0.6308450704225352</v>
      </c>
      <c r="I584" s="65">
        <f>G584/G$613</f>
        <v>0.0010647035615332515</v>
      </c>
    </row>
    <row r="585" spans="2:9" ht="12.75">
      <c r="B585" t="s">
        <v>438</v>
      </c>
      <c r="F585" s="5">
        <v>4700</v>
      </c>
      <c r="G585" s="5">
        <v>4462</v>
      </c>
      <c r="H585" s="42">
        <f>G585/F585</f>
        <v>0.9493617021276596</v>
      </c>
      <c r="I585" s="60">
        <f>G585/G$613</f>
        <v>0.000265165622435888</v>
      </c>
    </row>
    <row r="586" spans="2:9" ht="12.75">
      <c r="B586" t="s">
        <v>439</v>
      </c>
      <c r="F586" s="5">
        <v>23700</v>
      </c>
      <c r="G586" s="5">
        <v>13454</v>
      </c>
      <c r="H586" s="42">
        <f>G586/F586</f>
        <v>0.5676793248945148</v>
      </c>
      <c r="I586" s="60">
        <f>G586/G$613</f>
        <v>0.0007995379390973636</v>
      </c>
    </row>
    <row r="587" spans="6:9" ht="12.75" customHeight="1">
      <c r="F587" s="5"/>
      <c r="G587" s="5"/>
      <c r="I587" s="60"/>
    </row>
    <row r="588" spans="1:9" s="21" customFormat="1" ht="12.75" customHeight="1">
      <c r="A588" s="21" t="s">
        <v>60</v>
      </c>
      <c r="B588" s="21" t="s">
        <v>200</v>
      </c>
      <c r="D588" s="22"/>
      <c r="F588" s="24"/>
      <c r="G588" s="24"/>
      <c r="H588" s="45"/>
      <c r="I588" s="65"/>
    </row>
    <row r="589" spans="2:9" s="21" customFormat="1" ht="12.75" customHeight="1">
      <c r="B589" s="21" t="s">
        <v>62</v>
      </c>
      <c r="D589" s="22"/>
      <c r="F589" s="24">
        <f>SUM(F590:F606)</f>
        <v>1744142</v>
      </c>
      <c r="G589" s="24">
        <f>SUM(G590:G606)</f>
        <v>333342</v>
      </c>
      <c r="H589" s="45">
        <f aca="true" t="shared" si="19" ref="H589:H595">G589/F589</f>
        <v>0.1911209064399573</v>
      </c>
      <c r="I589" s="65">
        <f aca="true" t="shared" si="20" ref="I589:I595">G589/G$613</f>
        <v>0.019809690478266195</v>
      </c>
    </row>
    <row r="590" spans="2:9" s="20" customFormat="1" ht="12.75" customHeight="1">
      <c r="B590" s="20" t="s">
        <v>440</v>
      </c>
      <c r="D590" s="27"/>
      <c r="F590" s="25">
        <v>15000</v>
      </c>
      <c r="G590" s="25">
        <v>0</v>
      </c>
      <c r="H590" s="42">
        <f t="shared" si="19"/>
        <v>0</v>
      </c>
      <c r="I590" s="60">
        <f t="shared" si="20"/>
        <v>0</v>
      </c>
    </row>
    <row r="591" spans="2:9" s="20" customFormat="1" ht="12.75" customHeight="1">
      <c r="B591" s="20" t="s">
        <v>6</v>
      </c>
      <c r="D591" s="27"/>
      <c r="F591" s="25">
        <v>10095</v>
      </c>
      <c r="G591" s="25">
        <v>8906</v>
      </c>
      <c r="H591" s="42">
        <f t="shared" si="19"/>
        <v>0.8822189202575532</v>
      </c>
      <c r="I591" s="60">
        <f t="shared" si="20"/>
        <v>0.0005292615493980319</v>
      </c>
    </row>
    <row r="592" spans="2:9" s="20" customFormat="1" ht="12.75" customHeight="1">
      <c r="B592" s="20" t="s">
        <v>7</v>
      </c>
      <c r="D592" s="27"/>
      <c r="F592" s="25">
        <v>5600</v>
      </c>
      <c r="G592" s="25">
        <v>4941</v>
      </c>
      <c r="H592" s="42">
        <f t="shared" si="19"/>
        <v>0.8823214285714286</v>
      </c>
      <c r="I592" s="60">
        <f t="shared" si="20"/>
        <v>0.0002936314075427437</v>
      </c>
    </row>
    <row r="593" spans="2:9" s="20" customFormat="1" ht="12.75" customHeight="1">
      <c r="B593" s="20" t="s">
        <v>441</v>
      </c>
      <c r="D593" s="27"/>
      <c r="F593" s="25">
        <v>75000</v>
      </c>
      <c r="G593" s="25">
        <v>0</v>
      </c>
      <c r="H593" s="42">
        <f t="shared" si="19"/>
        <v>0</v>
      </c>
      <c r="I593" s="60">
        <f t="shared" si="20"/>
        <v>0</v>
      </c>
    </row>
    <row r="594" spans="2:9" s="20" customFormat="1" ht="12.75" customHeight="1">
      <c r="B594" s="20" t="s">
        <v>442</v>
      </c>
      <c r="D594" s="27"/>
      <c r="F594" s="25">
        <v>5600</v>
      </c>
      <c r="G594" s="25">
        <v>3886</v>
      </c>
      <c r="H594" s="42">
        <f t="shared" si="19"/>
        <v>0.6939285714285715</v>
      </c>
      <c r="I594" s="60">
        <f t="shared" si="20"/>
        <v>0.00023093536727607813</v>
      </c>
    </row>
    <row r="595" spans="2:9" s="20" customFormat="1" ht="12.75" customHeight="1">
      <c r="B595" s="20" t="s">
        <v>443</v>
      </c>
      <c r="D595" s="27"/>
      <c r="F595" s="25">
        <v>314000</v>
      </c>
      <c r="G595" s="25">
        <v>42700</v>
      </c>
      <c r="H595" s="42">
        <f t="shared" si="19"/>
        <v>0.1359872611464968</v>
      </c>
      <c r="I595" s="60">
        <f t="shared" si="20"/>
        <v>0.00253755537382618</v>
      </c>
    </row>
    <row r="596" spans="2:9" s="21" customFormat="1" ht="12.75" customHeight="1">
      <c r="B596" s="20" t="s">
        <v>444</v>
      </c>
      <c r="D596" s="22"/>
      <c r="F596" s="25"/>
      <c r="G596" s="25"/>
      <c r="H596" s="42"/>
      <c r="I596" s="60"/>
    </row>
    <row r="597" spans="2:9" s="21" customFormat="1" ht="12.75" customHeight="1">
      <c r="B597" s="20" t="s">
        <v>1</v>
      </c>
      <c r="D597" s="22"/>
      <c r="F597" s="25">
        <v>65000</v>
      </c>
      <c r="G597" s="25">
        <v>0</v>
      </c>
      <c r="H597" s="42">
        <f>G597/F597</f>
        <v>0</v>
      </c>
      <c r="I597" s="60">
        <f>G597/G$613</f>
        <v>0</v>
      </c>
    </row>
    <row r="598" spans="2:9" s="21" customFormat="1" ht="12.75" customHeight="1">
      <c r="B598" t="s">
        <v>445</v>
      </c>
      <c r="D598" s="22"/>
      <c r="F598" s="25">
        <v>213497</v>
      </c>
      <c r="G598" s="25">
        <v>213336</v>
      </c>
      <c r="H598" s="42">
        <f>G598/F598</f>
        <v>0.9992458910429655</v>
      </c>
      <c r="I598" s="60">
        <f>G598/G$613</f>
        <v>0.012678030754814565</v>
      </c>
    </row>
    <row r="599" spans="2:9" s="21" customFormat="1" ht="12.75" customHeight="1">
      <c r="B599" t="s">
        <v>446</v>
      </c>
      <c r="D599" s="22"/>
      <c r="F599" s="25">
        <v>30000</v>
      </c>
      <c r="G599" s="25">
        <v>29573</v>
      </c>
      <c r="H599" s="42">
        <f>G599/F599</f>
        <v>0.9857666666666667</v>
      </c>
      <c r="I599" s="60">
        <f>G599/G$613</f>
        <v>0.0017574502358351667</v>
      </c>
    </row>
    <row r="600" spans="2:9" s="21" customFormat="1" ht="12.75" customHeight="1">
      <c r="B600" s="20" t="s">
        <v>447</v>
      </c>
      <c r="D600" s="22"/>
      <c r="F600" s="25"/>
      <c r="G600" s="25"/>
      <c r="H600" s="42"/>
      <c r="I600" s="60"/>
    </row>
    <row r="601" spans="2:9" s="21" customFormat="1" ht="12.75" customHeight="1">
      <c r="B601" s="20" t="s">
        <v>2</v>
      </c>
      <c r="C601" s="20"/>
      <c r="D601" s="27"/>
      <c r="E601" s="20"/>
      <c r="F601" s="25">
        <v>30000</v>
      </c>
      <c r="G601" s="25">
        <v>30000</v>
      </c>
      <c r="H601" s="42">
        <f>G601/F601</f>
        <v>1</v>
      </c>
      <c r="I601" s="60">
        <f>G601/G$613</f>
        <v>0.0017828257895734286</v>
      </c>
    </row>
    <row r="602" spans="2:9" s="21" customFormat="1" ht="12.75" customHeight="1">
      <c r="B602" s="20" t="s">
        <v>448</v>
      </c>
      <c r="C602" s="20"/>
      <c r="D602" s="27"/>
      <c r="E602" s="20"/>
      <c r="F602" s="25"/>
      <c r="G602" s="25"/>
      <c r="H602" s="42"/>
      <c r="I602" s="60"/>
    </row>
    <row r="603" spans="2:9" s="21" customFormat="1" ht="12.75" customHeight="1">
      <c r="B603" s="20" t="s">
        <v>3</v>
      </c>
      <c r="C603" s="20"/>
      <c r="D603" s="27"/>
      <c r="E603" s="20"/>
      <c r="F603" s="25">
        <v>752000</v>
      </c>
      <c r="G603" s="25">
        <v>0</v>
      </c>
      <c r="H603" s="42">
        <f>G603/F603</f>
        <v>0</v>
      </c>
      <c r="I603" s="60">
        <f>G603/G$613</f>
        <v>0</v>
      </c>
    </row>
    <row r="604" spans="2:9" ht="12.75" customHeight="1">
      <c r="B604" t="s">
        <v>449</v>
      </c>
      <c r="F604" s="5"/>
      <c r="G604" s="5"/>
      <c r="I604" s="60"/>
    </row>
    <row r="605" spans="2:9" ht="12.75" customHeight="1">
      <c r="B605" t="s">
        <v>4</v>
      </c>
      <c r="F605" s="5"/>
      <c r="G605" s="5"/>
      <c r="I605" s="60"/>
    </row>
    <row r="606" spans="2:9" ht="12.75" customHeight="1">
      <c r="B606" t="s">
        <v>5</v>
      </c>
      <c r="F606" s="5">
        <v>228350</v>
      </c>
      <c r="G606" s="5">
        <v>0</v>
      </c>
      <c r="H606" s="42">
        <f>G606/F606</f>
        <v>0</v>
      </c>
      <c r="I606" s="60">
        <f>G606/G$613</f>
        <v>0</v>
      </c>
    </row>
    <row r="607" spans="6:9" ht="12.75" customHeight="1">
      <c r="F607" s="5"/>
      <c r="G607" s="5"/>
      <c r="I607" s="60"/>
    </row>
    <row r="608" spans="1:9" s="21" customFormat="1" ht="12.75" customHeight="1">
      <c r="A608" s="21" t="s">
        <v>85</v>
      </c>
      <c r="B608" s="21" t="s">
        <v>32</v>
      </c>
      <c r="D608" s="22"/>
      <c r="F608" s="24">
        <f>SUM(F609:F611)</f>
        <v>233378</v>
      </c>
      <c r="G608" s="24">
        <f>SUM(G609:G611)</f>
        <v>233377</v>
      </c>
      <c r="H608" s="45">
        <f>G608/F608</f>
        <v>0.9999957151059654</v>
      </c>
      <c r="I608" s="65">
        <f>G608/G$613</f>
        <v>0.013869017809775935</v>
      </c>
    </row>
    <row r="609" spans="2:9" ht="12.75" customHeight="1">
      <c r="B609" t="s">
        <v>451</v>
      </c>
      <c r="F609" s="5"/>
      <c r="G609" s="5"/>
      <c r="I609" s="60"/>
    </row>
    <row r="610" ht="12.75" customHeight="1">
      <c r="B610" t="s">
        <v>452</v>
      </c>
    </row>
    <row r="611" spans="2:9" ht="12.75" customHeight="1">
      <c r="B611" t="s">
        <v>453</v>
      </c>
      <c r="F611" s="5">
        <v>233378</v>
      </c>
      <c r="G611" s="5">
        <v>233377</v>
      </c>
      <c r="H611" s="42">
        <f>G611/F611</f>
        <v>0.9999957151059654</v>
      </c>
      <c r="I611" s="60">
        <f>G611/G$613</f>
        <v>0.013869017809775935</v>
      </c>
    </row>
    <row r="612" spans="6:9" ht="12.75" customHeight="1">
      <c r="F612" s="5"/>
      <c r="G612" s="5"/>
      <c r="I612" s="60"/>
    </row>
    <row r="613" spans="2:9" s="1" customFormat="1" ht="15">
      <c r="B613" s="1" t="s">
        <v>35</v>
      </c>
      <c r="D613" s="15"/>
      <c r="F613" s="4">
        <f>F526+F235</f>
        <v>21893714</v>
      </c>
      <c r="G613" s="4">
        <f>G526+G235</f>
        <v>16827219</v>
      </c>
      <c r="H613" s="45">
        <f>G613/F613</f>
        <v>0.7685867733542148</v>
      </c>
      <c r="I613" s="60">
        <f>G613/G$613</f>
        <v>1</v>
      </c>
    </row>
    <row r="614" spans="4:9" s="1" customFormat="1" ht="15">
      <c r="D614" s="15"/>
      <c r="F614" s="4"/>
      <c r="G614" s="4"/>
      <c r="H614" s="45"/>
      <c r="I614" s="60"/>
    </row>
    <row r="615" spans="4:9" s="1" customFormat="1" ht="15">
      <c r="D615" s="15"/>
      <c r="F615" s="4"/>
      <c r="G615" s="4"/>
      <c r="H615" s="37"/>
      <c r="I615" s="60"/>
    </row>
    <row r="616" spans="1:9" s="29" customFormat="1" ht="15">
      <c r="A616" s="28" t="s">
        <v>387</v>
      </c>
      <c r="D616" s="30"/>
      <c r="F616" s="30"/>
      <c r="G616" s="30"/>
      <c r="H616" s="38"/>
      <c r="I616" s="63"/>
    </row>
    <row r="617" spans="1:9" s="29" customFormat="1" ht="15">
      <c r="A617" s="28"/>
      <c r="D617" s="30"/>
      <c r="F617" s="30"/>
      <c r="G617" s="30"/>
      <c r="H617" s="38"/>
      <c r="I617" s="63"/>
    </row>
    <row r="618" spans="1:9" s="29" customFormat="1" ht="15">
      <c r="A618" s="28"/>
      <c r="D618" s="30"/>
      <c r="F618" s="59" t="s">
        <v>108</v>
      </c>
      <c r="G618" s="59" t="s">
        <v>109</v>
      </c>
      <c r="H618" s="38"/>
      <c r="I618" s="63"/>
    </row>
    <row r="619" spans="1:9" s="20" customFormat="1" ht="14.25" customHeight="1">
      <c r="A619" s="49"/>
      <c r="B619" s="49"/>
      <c r="D619" s="27"/>
      <c r="F619" s="50"/>
      <c r="G619" s="50"/>
      <c r="H619" s="42"/>
      <c r="I619" s="63"/>
    </row>
    <row r="620" spans="1:9" s="56" customFormat="1" ht="15">
      <c r="A620" s="56" t="s">
        <v>60</v>
      </c>
      <c r="B620" s="56" t="s">
        <v>89</v>
      </c>
      <c r="D620" s="57"/>
      <c r="E620" s="57"/>
      <c r="F620" s="57"/>
      <c r="G620" s="57"/>
      <c r="H620" s="36"/>
      <c r="I620" s="63"/>
    </row>
    <row r="621" spans="4:9" s="56" customFormat="1" ht="15">
      <c r="D621" s="57"/>
      <c r="E621" s="57"/>
      <c r="F621" s="57"/>
      <c r="G621" s="57"/>
      <c r="H621" s="36"/>
      <c r="I621" s="63"/>
    </row>
    <row r="622" spans="2:9" s="49" customFormat="1" ht="12.75">
      <c r="B622" s="49" t="s">
        <v>388</v>
      </c>
      <c r="D622" s="50"/>
      <c r="E622" s="50"/>
      <c r="F622" s="50">
        <v>-13237</v>
      </c>
      <c r="G622" s="50">
        <v>-13237</v>
      </c>
      <c r="H622" s="51"/>
      <c r="I622" s="69"/>
    </row>
    <row r="623" ht="12.75">
      <c r="E623" s="6"/>
    </row>
    <row r="624" spans="2:10" s="49" customFormat="1" ht="12.75">
      <c r="B624" s="49" t="s">
        <v>87</v>
      </c>
      <c r="D624" s="50"/>
      <c r="E624" s="50"/>
      <c r="F624" s="50">
        <v>3246858</v>
      </c>
      <c r="G624" s="50">
        <f>SUM(G626:G633)</f>
        <v>2908210</v>
      </c>
      <c r="H624" s="51"/>
      <c r="I624" s="69"/>
      <c r="J624" s="50"/>
    </row>
    <row r="625" spans="2:5" ht="12.75">
      <c r="B625" t="s">
        <v>21</v>
      </c>
      <c r="E625" s="6"/>
    </row>
    <row r="626" spans="2:7" ht="12.75">
      <c r="B626" t="s">
        <v>90</v>
      </c>
      <c r="E626" s="6"/>
      <c r="G626" s="6">
        <v>1046083</v>
      </c>
    </row>
    <row r="627" spans="2:7" ht="12.75">
      <c r="B627" s="48" t="s">
        <v>91</v>
      </c>
      <c r="E627" s="6"/>
      <c r="G627" s="6">
        <v>1456287</v>
      </c>
    </row>
    <row r="628" spans="2:5" ht="12.75">
      <c r="B628" t="s">
        <v>287</v>
      </c>
      <c r="E628" s="6"/>
    </row>
    <row r="629" spans="2:5" ht="12.75">
      <c r="B629" t="s">
        <v>541</v>
      </c>
      <c r="E629" s="6"/>
    </row>
    <row r="630" spans="2:5" ht="12.75">
      <c r="B630" t="s">
        <v>542</v>
      </c>
      <c r="E630" s="6"/>
    </row>
    <row r="631" spans="2:5" ht="12.75">
      <c r="B631" t="s">
        <v>389</v>
      </c>
      <c r="E631" s="6"/>
    </row>
    <row r="632" spans="2:7" ht="12.75">
      <c r="B632" t="s">
        <v>543</v>
      </c>
      <c r="E632" s="6"/>
      <c r="G632" s="6">
        <f>362894+246</f>
        <v>363140</v>
      </c>
    </row>
    <row r="633" spans="2:7" ht="12.75">
      <c r="B633" t="s">
        <v>301</v>
      </c>
      <c r="E633" s="6"/>
      <c r="G633" s="6">
        <v>42700</v>
      </c>
    </row>
    <row r="634" ht="12.75">
      <c r="E634" s="6"/>
    </row>
    <row r="635" spans="2:9" s="49" customFormat="1" ht="12.75">
      <c r="B635" s="49" t="s">
        <v>155</v>
      </c>
      <c r="D635" s="50"/>
      <c r="E635" s="50"/>
      <c r="F635" s="50">
        <v>3232000</v>
      </c>
      <c r="G635" s="50">
        <v>2905751</v>
      </c>
      <c r="H635" s="51"/>
      <c r="I635" s="69"/>
    </row>
    <row r="636" spans="2:5" ht="12.75">
      <c r="B636" t="s">
        <v>88</v>
      </c>
      <c r="E636" s="6"/>
    </row>
    <row r="637" spans="2:7" ht="12.75">
      <c r="B637" t="s">
        <v>154</v>
      </c>
      <c r="E637" s="6"/>
      <c r="G637" s="6">
        <f>990310+76350+190532+26117+11230</f>
        <v>1294539</v>
      </c>
    </row>
    <row r="638" spans="2:5" ht="12.75">
      <c r="B638" t="s">
        <v>92</v>
      </c>
      <c r="E638" s="6"/>
    </row>
    <row r="639" spans="2:5" ht="12.75">
      <c r="B639" t="s">
        <v>93</v>
      </c>
      <c r="E639" s="6"/>
    </row>
    <row r="640" ht="12.75">
      <c r="B640" t="s">
        <v>94</v>
      </c>
    </row>
    <row r="641" spans="2:7" ht="12.75">
      <c r="B641" t="s">
        <v>95</v>
      </c>
      <c r="E641" s="6"/>
      <c r="G641" s="6">
        <v>367889</v>
      </c>
    </row>
    <row r="642" spans="2:7" ht="12.75">
      <c r="B642" t="s">
        <v>208</v>
      </c>
      <c r="E642" s="6"/>
      <c r="G642" s="6">
        <v>337801</v>
      </c>
    </row>
    <row r="643" spans="2:5" ht="12.75">
      <c r="B643" t="s">
        <v>169</v>
      </c>
      <c r="E643" s="6"/>
    </row>
    <row r="644" spans="2:5" ht="12.75">
      <c r="B644" t="s">
        <v>170</v>
      </c>
      <c r="E644" s="6"/>
    </row>
    <row r="645" spans="2:7" ht="12.75">
      <c r="B645" t="s">
        <v>175</v>
      </c>
      <c r="E645" s="6"/>
      <c r="G645" s="6">
        <v>94149</v>
      </c>
    </row>
    <row r="646" spans="2:5" ht="12.75">
      <c r="B646" t="s">
        <v>171</v>
      </c>
      <c r="E646" s="6"/>
    </row>
    <row r="647" spans="2:5" ht="12.75">
      <c r="B647" t="s">
        <v>172</v>
      </c>
      <c r="E647" s="6"/>
    </row>
    <row r="648" spans="2:5" ht="12.75">
      <c r="B648" t="s">
        <v>173</v>
      </c>
      <c r="E648" s="6"/>
    </row>
    <row r="649" spans="2:7" ht="12.75">
      <c r="B649" t="s">
        <v>174</v>
      </c>
      <c r="E649" s="6"/>
      <c r="G649" s="6">
        <v>231563</v>
      </c>
    </row>
    <row r="650" spans="2:5" ht="12.75">
      <c r="B650" t="s">
        <v>96</v>
      </c>
      <c r="E650" s="6"/>
    </row>
    <row r="651" spans="2:7" ht="12.75">
      <c r="B651" t="s">
        <v>97</v>
      </c>
      <c r="E651" s="6"/>
      <c r="G651" s="6">
        <v>333227</v>
      </c>
    </row>
    <row r="652" spans="2:5" ht="12.75">
      <c r="B652" t="s">
        <v>98</v>
      </c>
      <c r="E652" s="6"/>
    </row>
    <row r="653" spans="2:7" ht="12.75">
      <c r="B653" t="s">
        <v>99</v>
      </c>
      <c r="E653" s="6"/>
      <c r="G653" s="6">
        <v>124797</v>
      </c>
    </row>
    <row r="654" spans="2:7" ht="12.75">
      <c r="B654" t="s">
        <v>209</v>
      </c>
      <c r="E654" s="6"/>
      <c r="G654" s="6">
        <v>3355</v>
      </c>
    </row>
    <row r="655" spans="2:5" ht="12.75">
      <c r="B655" t="s">
        <v>390</v>
      </c>
      <c r="E655" s="6"/>
    </row>
    <row r="656" spans="2:7" ht="12.75">
      <c r="B656" t="s">
        <v>391</v>
      </c>
      <c r="E656" s="6"/>
      <c r="G656" s="6">
        <v>42700</v>
      </c>
    </row>
    <row r="657" spans="2:7" ht="12.75">
      <c r="B657" t="s">
        <v>544</v>
      </c>
      <c r="E657" s="6"/>
      <c r="G657" s="6">
        <v>10900</v>
      </c>
    </row>
    <row r="658" ht="12.75">
      <c r="E658" s="6"/>
    </row>
    <row r="659" ht="12.75">
      <c r="E659" s="6"/>
    </row>
    <row r="660" spans="2:7" ht="12.75">
      <c r="B660" s="49" t="s">
        <v>195</v>
      </c>
      <c r="G660" s="50">
        <v>50825</v>
      </c>
    </row>
    <row r="661" spans="2:7" ht="12.75">
      <c r="B661" s="49"/>
      <c r="G661" s="50"/>
    </row>
    <row r="662" spans="2:9" s="49" customFormat="1" ht="12.75">
      <c r="B662" s="49" t="s">
        <v>545</v>
      </c>
      <c r="D662" s="50"/>
      <c r="F662" s="50">
        <v>1621</v>
      </c>
      <c r="G662" s="50">
        <f>G622+G624-G635-G660</f>
        <v>-61603</v>
      </c>
      <c r="H662" s="51"/>
      <c r="I662" s="69"/>
    </row>
    <row r="663" ht="12.75">
      <c r="B663" t="s">
        <v>546</v>
      </c>
    </row>
    <row r="664" ht="12.75">
      <c r="B664" t="s">
        <v>393</v>
      </c>
    </row>
    <row r="665" ht="12.75">
      <c r="B665" t="s">
        <v>547</v>
      </c>
    </row>
    <row r="670" spans="4:9" s="49" customFormat="1" ht="12.75">
      <c r="D670" s="50"/>
      <c r="F670" s="50"/>
      <c r="G670" s="50"/>
      <c r="H670" s="51"/>
      <c r="I670" s="69"/>
    </row>
    <row r="671" spans="1:9" s="56" customFormat="1" ht="15">
      <c r="A671" s="56" t="s">
        <v>60</v>
      </c>
      <c r="B671" s="56" t="s">
        <v>100</v>
      </c>
      <c r="D671" s="57"/>
      <c r="F671" s="57"/>
      <c r="G671" s="57"/>
      <c r="H671" s="36"/>
      <c r="I671" s="63"/>
    </row>
    <row r="673" spans="2:9" s="49" customFormat="1" ht="12.75">
      <c r="B673" s="49" t="s">
        <v>388</v>
      </c>
      <c r="D673" s="50"/>
      <c r="F673" s="50">
        <v>-205106</v>
      </c>
      <c r="G673" s="50">
        <v>-205106</v>
      </c>
      <c r="H673" s="51"/>
      <c r="I673" s="69"/>
    </row>
    <row r="675" spans="2:9" s="49" customFormat="1" ht="12.75">
      <c r="B675" s="49" t="s">
        <v>87</v>
      </c>
      <c r="D675" s="50"/>
      <c r="F675" s="50">
        <f>2841049-78085</f>
        <v>2762964</v>
      </c>
      <c r="G675" s="50">
        <v>2478769</v>
      </c>
      <c r="H675" s="51"/>
      <c r="I675" s="69"/>
    </row>
    <row r="676" ht="12.75">
      <c r="B676" t="s">
        <v>11</v>
      </c>
    </row>
    <row r="677" ht="12.75">
      <c r="B677" t="s">
        <v>101</v>
      </c>
    </row>
    <row r="678" ht="12.75">
      <c r="B678" t="s">
        <v>577</v>
      </c>
    </row>
    <row r="679" spans="2:7" ht="12.75">
      <c r="B679" t="s">
        <v>102</v>
      </c>
      <c r="E679" s="6"/>
      <c r="G679" s="6">
        <f>G675-629579</f>
        <v>1849190</v>
      </c>
    </row>
    <row r="680" spans="2:7" ht="12.75">
      <c r="B680" t="s">
        <v>569</v>
      </c>
      <c r="E680" s="6"/>
      <c r="G680" s="6">
        <v>16567</v>
      </c>
    </row>
    <row r="681" spans="2:7" ht="12.75">
      <c r="B681" t="s">
        <v>570</v>
      </c>
      <c r="E681" s="6"/>
      <c r="G681" s="6">
        <f>108149+5410</f>
        <v>113559</v>
      </c>
    </row>
    <row r="682" spans="2:7" ht="12.75">
      <c r="B682" t="s">
        <v>571</v>
      </c>
      <c r="E682" s="6"/>
      <c r="G682" s="6">
        <v>35127</v>
      </c>
    </row>
    <row r="683" spans="2:7" ht="12.75">
      <c r="B683" t="s">
        <v>572</v>
      </c>
      <c r="E683" s="6"/>
      <c r="G683" s="6">
        <v>41788</v>
      </c>
    </row>
    <row r="684" spans="2:7" ht="12.75">
      <c r="B684" t="s">
        <v>573</v>
      </c>
      <c r="E684" s="6"/>
      <c r="G684" s="6">
        <f>146926-G680</f>
        <v>130359</v>
      </c>
    </row>
    <row r="685" spans="2:7" ht="12.75">
      <c r="B685" t="s">
        <v>574</v>
      </c>
      <c r="E685" s="6"/>
      <c r="G685" s="6">
        <v>178000</v>
      </c>
    </row>
    <row r="686" spans="2:7" ht="12.75">
      <c r="B686" t="s">
        <v>575</v>
      </c>
      <c r="E686" s="6"/>
      <c r="G686" s="6">
        <v>60795</v>
      </c>
    </row>
    <row r="687" spans="2:8" ht="12.75">
      <c r="B687" t="s">
        <v>576</v>
      </c>
      <c r="E687" s="6"/>
      <c r="G687" s="6">
        <f>21911+2274+9302+10304+9593</f>
        <v>53384</v>
      </c>
      <c r="H687" s="63"/>
    </row>
    <row r="688" ht="12.75">
      <c r="E688" s="6"/>
    </row>
    <row r="689" spans="2:9" s="49" customFormat="1" ht="12.75">
      <c r="B689" s="49" t="s">
        <v>155</v>
      </c>
      <c r="D689" s="50"/>
      <c r="E689" s="50"/>
      <c r="F689" s="50">
        <f>2635759-78085</f>
        <v>2557674</v>
      </c>
      <c r="G689" s="50">
        <v>2441671</v>
      </c>
      <c r="H689" s="51"/>
      <c r="I689" s="69"/>
    </row>
    <row r="690" spans="2:5" ht="12.75">
      <c r="B690" t="s">
        <v>88</v>
      </c>
      <c r="E690" s="6"/>
    </row>
    <row r="691" spans="2:7" ht="12.75">
      <c r="B691" t="s">
        <v>548</v>
      </c>
      <c r="E691" s="6"/>
      <c r="G691" s="6">
        <f>910716+58232+164460+35315+68479</f>
        <v>1237202</v>
      </c>
    </row>
    <row r="692" spans="2:5" ht="12.75">
      <c r="B692" t="s">
        <v>103</v>
      </c>
      <c r="E692" s="6"/>
    </row>
    <row r="693" spans="2:7" ht="12.75">
      <c r="B693" t="s">
        <v>392</v>
      </c>
      <c r="E693" s="6"/>
      <c r="G693" s="6">
        <v>244708</v>
      </c>
    </row>
    <row r="694" spans="2:7" ht="12.75">
      <c r="B694" t="s">
        <v>168</v>
      </c>
      <c r="E694" s="6"/>
      <c r="G694" s="6">
        <v>42277</v>
      </c>
    </row>
    <row r="695" spans="2:5" ht="12.75">
      <c r="B695" t="s">
        <v>288</v>
      </c>
      <c r="E695" s="6"/>
    </row>
    <row r="696" spans="2:7" ht="12.75">
      <c r="B696" t="s">
        <v>289</v>
      </c>
      <c r="E696" s="6"/>
      <c r="G696" s="6">
        <f>5457+19552+15407+6180+12000+5606+53667</f>
        <v>117869</v>
      </c>
    </row>
    <row r="697" spans="2:7" ht="12.75">
      <c r="B697" t="s">
        <v>549</v>
      </c>
      <c r="E697" s="6"/>
      <c r="G697" s="6">
        <v>168944</v>
      </c>
    </row>
    <row r="698" spans="2:7" ht="12.75">
      <c r="B698" t="s">
        <v>550</v>
      </c>
      <c r="E698" s="6"/>
      <c r="G698" s="6">
        <v>10392</v>
      </c>
    </row>
    <row r="699" spans="2:7" ht="12.75">
      <c r="B699" t="s">
        <v>551</v>
      </c>
      <c r="E699" s="6"/>
      <c r="G699" s="6">
        <v>89280</v>
      </c>
    </row>
    <row r="700" spans="2:7" ht="12.75">
      <c r="B700" t="s">
        <v>552</v>
      </c>
      <c r="E700" s="6"/>
      <c r="G700" s="6">
        <v>303209</v>
      </c>
    </row>
    <row r="701" spans="2:7" ht="12.75">
      <c r="B701" t="s">
        <v>553</v>
      </c>
      <c r="E701" s="6"/>
      <c r="G701" s="6">
        <v>12457</v>
      </c>
    </row>
    <row r="702" spans="2:7" ht="12.75">
      <c r="B702" t="s">
        <v>554</v>
      </c>
      <c r="E702" s="6"/>
      <c r="G702" s="6">
        <v>35364</v>
      </c>
    </row>
    <row r="703" spans="2:7" ht="12.75">
      <c r="B703" t="s">
        <v>555</v>
      </c>
      <c r="E703" s="6"/>
      <c r="G703" s="6">
        <v>16656</v>
      </c>
    </row>
    <row r="704" spans="2:7" ht="12.75">
      <c r="B704" t="s">
        <v>556</v>
      </c>
      <c r="E704" s="6"/>
      <c r="G704" s="6">
        <v>13500</v>
      </c>
    </row>
    <row r="705" spans="2:7" ht="12.75">
      <c r="B705" t="s">
        <v>557</v>
      </c>
      <c r="E705" s="6"/>
      <c r="G705" s="6">
        <v>16022</v>
      </c>
    </row>
    <row r="706" spans="2:7" ht="12.75">
      <c r="B706" t="s">
        <v>558</v>
      </c>
      <c r="E706" s="6"/>
      <c r="G706" s="6">
        <v>20653</v>
      </c>
    </row>
    <row r="707" spans="2:7" ht="12.75">
      <c r="B707" t="s">
        <v>559</v>
      </c>
      <c r="E707" s="6"/>
      <c r="G707" s="6">
        <v>25662</v>
      </c>
    </row>
    <row r="708" spans="2:7" ht="12.75">
      <c r="B708" t="s">
        <v>560</v>
      </c>
      <c r="E708" s="6"/>
      <c r="G708" s="6">
        <v>19870</v>
      </c>
    </row>
    <row r="709" spans="2:7" ht="12.75">
      <c r="B709" t="s">
        <v>561</v>
      </c>
      <c r="E709" s="6"/>
      <c r="G709" s="6">
        <v>19843</v>
      </c>
    </row>
    <row r="710" ht="12.75">
      <c r="E710" s="6"/>
    </row>
    <row r="711" spans="2:9" s="49" customFormat="1" ht="12.75">
      <c r="B711" s="49" t="s">
        <v>195</v>
      </c>
      <c r="D711" s="50"/>
      <c r="E711" s="50"/>
      <c r="F711" s="50"/>
      <c r="G711" s="50">
        <v>0</v>
      </c>
      <c r="H711" s="51"/>
      <c r="I711" s="69"/>
    </row>
    <row r="712" ht="12.75">
      <c r="E712" s="6"/>
    </row>
    <row r="713" spans="2:9" s="49" customFormat="1" ht="12.75">
      <c r="B713" s="49" t="s">
        <v>562</v>
      </c>
      <c r="D713" s="50"/>
      <c r="F713" s="50">
        <v>184</v>
      </c>
      <c r="G713" s="50">
        <f>G673+G675-G689</f>
        <v>-168008</v>
      </c>
      <c r="H713" s="51"/>
      <c r="I713" s="69"/>
    </row>
    <row r="714" spans="2:5" ht="12.75">
      <c r="B714" t="s">
        <v>563</v>
      </c>
      <c r="E714" s="6"/>
    </row>
    <row r="715" spans="2:5" ht="12.75">
      <c r="B715" t="s">
        <v>564</v>
      </c>
      <c r="E715" s="6"/>
    </row>
    <row r="716" ht="12.75">
      <c r="B716" s="49"/>
    </row>
    <row r="717" ht="12.75">
      <c r="B717" s="49"/>
    </row>
    <row r="718" ht="12.75">
      <c r="B718" s="49"/>
    </row>
    <row r="719" ht="12.75">
      <c r="B719" s="49"/>
    </row>
    <row r="720" ht="12.75">
      <c r="B720" s="49"/>
    </row>
    <row r="721" ht="12.75">
      <c r="B721" s="49"/>
    </row>
    <row r="722" ht="12.75">
      <c r="B722" s="49"/>
    </row>
    <row r="723" ht="12.75">
      <c r="B723" s="49"/>
    </row>
    <row r="724" ht="12.75">
      <c r="B724" s="49"/>
    </row>
    <row r="725" ht="12.75">
      <c r="B725" s="49"/>
    </row>
    <row r="726" spans="1:9" s="56" customFormat="1" ht="15">
      <c r="A726" s="56" t="s">
        <v>60</v>
      </c>
      <c r="B726" s="56" t="s">
        <v>104</v>
      </c>
      <c r="D726" s="57"/>
      <c r="F726" s="57"/>
      <c r="G726" s="57"/>
      <c r="H726" s="36"/>
      <c r="I726" s="63"/>
    </row>
    <row r="728" spans="2:9" s="49" customFormat="1" ht="12.75">
      <c r="B728" s="49" t="s">
        <v>388</v>
      </c>
      <c r="D728" s="50"/>
      <c r="F728" s="50">
        <v>19914</v>
      </c>
      <c r="G728" s="50">
        <v>19914</v>
      </c>
      <c r="H728" s="51"/>
      <c r="I728" s="69"/>
    </row>
    <row r="730" spans="2:9" s="49" customFormat="1" ht="12.75">
      <c r="B730" s="49" t="s">
        <v>156</v>
      </c>
      <c r="D730" s="50"/>
      <c r="F730" s="50">
        <f>SUM(F732:F733)</f>
        <v>67000</v>
      </c>
      <c r="G730" s="50">
        <f>SUM(G732:G733)</f>
        <v>119222</v>
      </c>
      <c r="H730" s="51"/>
      <c r="I730" s="69"/>
    </row>
    <row r="731" spans="2:9" s="20" customFormat="1" ht="12.75">
      <c r="B731" s="20" t="s">
        <v>21</v>
      </c>
      <c r="D731" s="27"/>
      <c r="F731" s="27"/>
      <c r="G731" s="27"/>
      <c r="H731" s="42"/>
      <c r="I731" s="63"/>
    </row>
    <row r="732" spans="2:9" s="20" customFormat="1" ht="12.75">
      <c r="B732" s="20" t="s">
        <v>223</v>
      </c>
      <c r="D732" s="27"/>
      <c r="F732" s="27">
        <v>66000</v>
      </c>
      <c r="G732" s="27">
        <v>118004</v>
      </c>
      <c r="H732" s="42"/>
      <c r="I732" s="63"/>
    </row>
    <row r="733" spans="2:7" ht="12.75">
      <c r="B733" t="s">
        <v>157</v>
      </c>
      <c r="F733" s="6">
        <v>1000</v>
      </c>
      <c r="G733" s="6">
        <v>1218</v>
      </c>
    </row>
    <row r="735" spans="2:9" s="49" customFormat="1" ht="12.75">
      <c r="B735" s="49" t="s">
        <v>158</v>
      </c>
      <c r="D735" s="50"/>
      <c r="F735" s="50">
        <f>SUM(F738:F749)</f>
        <v>86000</v>
      </c>
      <c r="G735" s="50">
        <f>SUM(G738:G749)</f>
        <v>70780</v>
      </c>
      <c r="H735" s="51"/>
      <c r="I735" s="69"/>
    </row>
    <row r="736" ht="12.75">
      <c r="B736" t="s">
        <v>21</v>
      </c>
    </row>
    <row r="737" ht="12.75">
      <c r="B737" t="s">
        <v>394</v>
      </c>
    </row>
    <row r="738" spans="2:7" ht="12.75">
      <c r="B738" t="s">
        <v>395</v>
      </c>
      <c r="F738" s="6">
        <v>10000</v>
      </c>
      <c r="G738" s="6">
        <v>9760</v>
      </c>
    </row>
    <row r="739" spans="2:7" ht="12.75">
      <c r="B739" t="s">
        <v>194</v>
      </c>
      <c r="F739" s="6">
        <v>2000</v>
      </c>
      <c r="G739" s="6">
        <v>2000</v>
      </c>
    </row>
    <row r="740" ht="12.75">
      <c r="B740" t="s">
        <v>224</v>
      </c>
    </row>
    <row r="741" spans="2:7" ht="12.75">
      <c r="B741" t="s">
        <v>225</v>
      </c>
      <c r="F741" s="6">
        <v>2000</v>
      </c>
      <c r="G741" s="6">
        <v>2000</v>
      </c>
    </row>
    <row r="742" ht="12.75">
      <c r="B742" t="s">
        <v>565</v>
      </c>
    </row>
    <row r="743" spans="2:7" ht="12.75">
      <c r="B743" t="s">
        <v>396</v>
      </c>
      <c r="F743" s="6">
        <v>20000</v>
      </c>
      <c r="G743" s="6">
        <f>1836+976+15805</f>
        <v>18617</v>
      </c>
    </row>
    <row r="744" ht="12.75">
      <c r="B744" t="s">
        <v>397</v>
      </c>
    </row>
    <row r="745" spans="2:8" ht="12.75">
      <c r="B745" t="s">
        <v>398</v>
      </c>
      <c r="E745" s="6"/>
      <c r="F745" s="6">
        <v>5000</v>
      </c>
      <c r="G745" s="6">
        <v>3258</v>
      </c>
      <c r="H745" s="63"/>
    </row>
    <row r="746" spans="2:7" ht="12.75">
      <c r="B746" t="s">
        <v>399</v>
      </c>
      <c r="F746" s="6">
        <v>8000</v>
      </c>
      <c r="G746" s="6">
        <v>3367</v>
      </c>
    </row>
    <row r="747" spans="2:7" ht="12.75">
      <c r="B747" t="s">
        <v>400</v>
      </c>
      <c r="F747" s="6">
        <v>10000</v>
      </c>
      <c r="G747" s="6">
        <v>14406</v>
      </c>
    </row>
    <row r="748" spans="2:7" ht="12.75">
      <c r="B748" t="s">
        <v>401</v>
      </c>
      <c r="F748" s="6">
        <v>28500</v>
      </c>
      <c r="G748" s="6">
        <f>106+16483+610</f>
        <v>17199</v>
      </c>
    </row>
    <row r="749" spans="2:7" ht="12.75">
      <c r="B749" t="s">
        <v>402</v>
      </c>
      <c r="E749" s="6"/>
      <c r="F749" s="6">
        <v>500</v>
      </c>
      <c r="G749" s="6">
        <v>173</v>
      </c>
    </row>
    <row r="751" spans="2:7" ht="12.75">
      <c r="B751" s="49" t="s">
        <v>566</v>
      </c>
      <c r="F751" s="50">
        <v>914</v>
      </c>
      <c r="G751" s="50">
        <f>G728+G730-G735</f>
        <v>68356</v>
      </c>
    </row>
  </sheetData>
  <printOptions/>
  <pageMargins left="0.15748031496062992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2006-03-15T13:18:22Z</cp:lastPrinted>
  <dcterms:created xsi:type="dcterms:W3CDTF">2001-08-01T10:56:09Z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