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090" windowHeight="5640" activeTab="1"/>
  </bookViews>
  <sheets>
    <sheet name="Wykres1" sheetId="1" r:id="rId1"/>
    <sheet name="Arkusz1" sheetId="2" r:id="rId2"/>
  </sheets>
  <definedNames/>
  <calcPr fullCalcOnLoad="1"/>
</workbook>
</file>

<file path=xl/sharedStrings.xml><?xml version="1.0" encoding="utf-8"?>
<sst xmlns="http://schemas.openxmlformats.org/spreadsheetml/2006/main" count="182" uniqueCount="116">
  <si>
    <t>Przewidywane</t>
  </si>
  <si>
    <t>Wykonanie</t>
  </si>
  <si>
    <t>w roku 1997r.</t>
  </si>
  <si>
    <t>OŚWIATA  I  WYCHOWANIE</t>
  </si>
  <si>
    <t>OCHRONA  ZDROWIA</t>
  </si>
  <si>
    <t>z tego:</t>
  </si>
  <si>
    <t>bieżące</t>
  </si>
  <si>
    <t>Pozostała  działalność</t>
  </si>
  <si>
    <t>w tym:</t>
  </si>
  <si>
    <t>Drogi publiczne gminne</t>
  </si>
  <si>
    <t>Pozostała działalność</t>
  </si>
  <si>
    <t>Ochotnicze straże pożarne</t>
  </si>
  <si>
    <t>Opracowania geodezyjne i kartograf.</t>
  </si>
  <si>
    <t>Dowożenie uczniów do szkół</t>
  </si>
  <si>
    <t>Biblioteki</t>
  </si>
  <si>
    <t>Przeciwdziałanie alkoholizmowi</t>
  </si>
  <si>
    <t>Dodatki mieszkaniowe</t>
  </si>
  <si>
    <t>Urzędy wojewódzkie</t>
  </si>
  <si>
    <t>Komisje poborowe</t>
  </si>
  <si>
    <t>Straż Miejska</t>
  </si>
  <si>
    <t>Komendy powiatowe Policji</t>
  </si>
  <si>
    <t>RÓŻNE ROZLICZENIA</t>
  </si>
  <si>
    <t>Rezerwy ogólne i celowe</t>
  </si>
  <si>
    <t>O10</t>
  </si>
  <si>
    <t>O1095</t>
  </si>
  <si>
    <t>TRANSPORT  I  ŁĄCZNOŚĆ</t>
  </si>
  <si>
    <t>ROLNICTWO I ŁOWIECTWO</t>
  </si>
  <si>
    <t>GOSPODARKA  MIESZKANIOWA</t>
  </si>
  <si>
    <t>Gospodarka gruntami i nieruchomościami</t>
  </si>
  <si>
    <t>DZIAŁALNOŚĆ USŁUGOWA</t>
  </si>
  <si>
    <t>Plany zagospodarowania przestrzennego</t>
  </si>
  <si>
    <t>ADMINISTRACJA  PUBLICZNA</t>
  </si>
  <si>
    <t>Rady gmin</t>
  </si>
  <si>
    <t>Urzędy gmin</t>
  </si>
  <si>
    <t xml:space="preserve">BEZPIECZEŃSTWO PUBLICZNE </t>
  </si>
  <si>
    <t>I OCHRONA PRZECIWPOŻAROWA</t>
  </si>
  <si>
    <t>Obrona cywilna</t>
  </si>
  <si>
    <t>OBSŁUGA  DŁUGU  PUBLICZNEGO</t>
  </si>
  <si>
    <t>Obsługa papierów wartościowych,</t>
  </si>
  <si>
    <t>kredytów i pożyczek jedn.sam.teryt.</t>
  </si>
  <si>
    <t>Zasiłki i pomoc w naturze oraz składki</t>
  </si>
  <si>
    <t>Ośrodki pomocy społecznej</t>
  </si>
  <si>
    <t>Usługi opiekuńcze i specjalistyczne</t>
  </si>
  <si>
    <t>usługi opiekuńcze</t>
  </si>
  <si>
    <t>EDUKACYJNA OPIEKA WYCHOWAWCZA</t>
  </si>
  <si>
    <t>Świetlice szkolne</t>
  </si>
  <si>
    <t>Kolonie i obozy oraz inne formy</t>
  </si>
  <si>
    <t>wypoczynku dzieci i młodzieży szkol.</t>
  </si>
  <si>
    <t xml:space="preserve">GOSPODARKA  KOMUNALNA </t>
  </si>
  <si>
    <t>I OCHRONA ŚRODOWISKA</t>
  </si>
  <si>
    <t>Oczyszczanie miast i wsi</t>
  </si>
  <si>
    <t>Utrzymanie zieleni w miastach i gminach</t>
  </si>
  <si>
    <t>Oświetlenie ulic,placów i dróg</t>
  </si>
  <si>
    <t>KULTURA I OCHRONA  DZIEDZICTWA</t>
  </si>
  <si>
    <t>NARODOWEGO</t>
  </si>
  <si>
    <t>Domy i ośrodki kultury,świetlice i kluby</t>
  </si>
  <si>
    <t>TURYSTYKA</t>
  </si>
  <si>
    <t>URZĘDY NACZELNYCH ORGANÓW</t>
  </si>
  <si>
    <t>WŁADZY PAŃSTWOWEJ ,KONTROLI</t>
  </si>
  <si>
    <t>I OCHRONY PRAWA ORAZ SĄDOWNICTWA</t>
  </si>
  <si>
    <t>Urzędy naczelnych organów  władzy</t>
  </si>
  <si>
    <t>państwowej ,kontroli i ochrony prawa</t>
  </si>
  <si>
    <t>KULTURA FIZYCZNA I SPORT</t>
  </si>
  <si>
    <t>OGÓŁEM</t>
  </si>
  <si>
    <t>Różne rozliczenia finansowe</t>
  </si>
  <si>
    <t>Plan  na  rok 2001</t>
  </si>
  <si>
    <t>przed</t>
  </si>
  <si>
    <t>zmianami</t>
  </si>
  <si>
    <t>O1030</t>
  </si>
  <si>
    <t>Izby rolnicze</t>
  </si>
  <si>
    <t>Cmentarze</t>
  </si>
  <si>
    <t xml:space="preserve">Szkoły podstawowe          </t>
  </si>
  <si>
    <t xml:space="preserve">Gimnazja                 </t>
  </si>
  <si>
    <t>Zakłady gospodarki komunalnej</t>
  </si>
  <si>
    <t>Dokształcanie i doskonalenie nauczycieli</t>
  </si>
  <si>
    <t>Składki na ubezpieczenie zdrowotne opłacane</t>
  </si>
  <si>
    <t>za osoby pobierające niektóre świadczenia</t>
  </si>
  <si>
    <t>na ubezpieczenia społeczne</t>
  </si>
  <si>
    <t>POMOC  SPOŁECZNA</t>
  </si>
  <si>
    <t xml:space="preserve">Przedszkola </t>
  </si>
  <si>
    <t xml:space="preserve">z pomocy społecznej oraz niektóre </t>
  </si>
  <si>
    <t>świadczenia rodzinne</t>
  </si>
  <si>
    <t>a także szkolenia młodzieży</t>
  </si>
  <si>
    <t>Pomoc materialna dla uczniów</t>
  </si>
  <si>
    <t>podstawowych</t>
  </si>
  <si>
    <t xml:space="preserve">Oddziały przedszkolne w szkołach </t>
  </si>
  <si>
    <t>Zwalczanie narkomanii</t>
  </si>
  <si>
    <t>oraz skł.na ubezp.emeryt.i rent.z ubezp.społ.</t>
  </si>
  <si>
    <t>Świadczenia rodzinne, zaliczka alimentac.</t>
  </si>
  <si>
    <t>Dział</t>
  </si>
  <si>
    <t>rozdz.</t>
  </si>
  <si>
    <t>Stołówki szkolne</t>
  </si>
  <si>
    <t>Promocja jednostek samorządu terytorialnego</t>
  </si>
  <si>
    <t xml:space="preserve">Plan na </t>
  </si>
  <si>
    <t>rok 2009</t>
  </si>
  <si>
    <t>Wydatki budżetu Gminy Międzyzdroje</t>
  </si>
  <si>
    <t>w 2009r.</t>
  </si>
  <si>
    <t>Nazwa</t>
  </si>
  <si>
    <t xml:space="preserve">Wydatki </t>
  </si>
  <si>
    <t>Pochodne od</t>
  </si>
  <si>
    <t xml:space="preserve">wynagrodzeń </t>
  </si>
  <si>
    <t>Dotacje</t>
  </si>
  <si>
    <t>Wydatki na</t>
  </si>
  <si>
    <t>obsłgę długu</t>
  </si>
  <si>
    <t>z tyt.poręczń</t>
  </si>
  <si>
    <t>i gwarancji</t>
  </si>
  <si>
    <t>Wydatki</t>
  </si>
  <si>
    <t>majątkowe</t>
  </si>
  <si>
    <t>Wynagrodzenia</t>
  </si>
  <si>
    <t>Rady Miejskiej w Międzyzdrojach</t>
  </si>
  <si>
    <t>Załącznik  Nr 2</t>
  </si>
  <si>
    <t>WYTWARZANIE I ZAOPATRYWANIE W ENERGIĘ</t>
  </si>
  <si>
    <t>ELEKTRYCZNĄ, GAZ I WODĘ</t>
  </si>
  <si>
    <t>do uchwały Nr XXXIV/323/08</t>
  </si>
  <si>
    <t>z dnia 29 grudnia 2008 r.</t>
  </si>
  <si>
    <t>Drogi publiczne powiatowe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</si>
</sst>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8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1"/>
      <name val="Arial CE"/>
      <family val="0"/>
    </font>
    <font>
      <sz val="9"/>
      <name val="Arial CE"/>
      <family val="0"/>
    </font>
    <font>
      <b/>
      <sz val="9"/>
      <name val="Arial CE"/>
      <family val="2"/>
    </font>
    <font>
      <sz val="8"/>
      <name val="Arial CE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2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4" fillId="0" borderId="2" xfId="0" applyFont="1" applyBorder="1" applyAlignment="1">
      <alignment horizontal="left"/>
    </xf>
    <xf numFmtId="0" fontId="0" fillId="0" borderId="0" xfId="0" applyFont="1" applyAlignment="1">
      <alignment/>
    </xf>
    <xf numFmtId="4" fontId="0" fillId="0" borderId="1" xfId="0" applyNumberFormat="1" applyBorder="1" applyAlignment="1">
      <alignment/>
    </xf>
    <xf numFmtId="4" fontId="1" fillId="0" borderId="2" xfId="0" applyNumberFormat="1" applyFont="1" applyBorder="1" applyAlignment="1">
      <alignment/>
    </xf>
    <xf numFmtId="4" fontId="0" fillId="0" borderId="0" xfId="0" applyNumberFormat="1" applyAlignment="1">
      <alignment/>
    </xf>
    <xf numFmtId="1" fontId="0" fillId="0" borderId="2" xfId="0" applyNumberFormat="1" applyBorder="1" applyAlignment="1">
      <alignment/>
    </xf>
    <xf numFmtId="1" fontId="0" fillId="0" borderId="3" xfId="0" applyNumberFormat="1" applyBorder="1" applyAlignment="1">
      <alignment/>
    </xf>
    <xf numFmtId="4" fontId="0" fillId="0" borderId="1" xfId="0" applyNumberFormat="1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Border="1" applyAlignment="1">
      <alignment/>
    </xf>
    <xf numFmtId="0" fontId="5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3" fontId="0" fillId="0" borderId="4" xfId="0" applyNumberFormat="1" applyFont="1" applyBorder="1" applyAlignment="1">
      <alignment/>
    </xf>
    <xf numFmtId="3" fontId="4" fillId="0" borderId="4" xfId="0" applyNumberFormat="1" applyFont="1" applyBorder="1" applyAlignment="1">
      <alignment/>
    </xf>
    <xf numFmtId="0" fontId="0" fillId="0" borderId="5" xfId="0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/>
    </xf>
    <xf numFmtId="4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2" xfId="0" applyFont="1" applyBorder="1" applyAlignment="1">
      <alignment horizontal="center"/>
    </xf>
    <xf numFmtId="0" fontId="1" fillId="0" borderId="0" xfId="0" applyFont="1" applyAlignment="1">
      <alignment/>
    </xf>
    <xf numFmtId="3" fontId="1" fillId="0" borderId="4" xfId="0" applyNumberFormat="1" applyFont="1" applyBorder="1" applyAlignment="1">
      <alignment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/>
    </xf>
    <xf numFmtId="0" fontId="6" fillId="0" borderId="2" xfId="0" applyFont="1" applyBorder="1" applyAlignment="1">
      <alignment/>
    </xf>
    <xf numFmtId="0" fontId="6" fillId="0" borderId="2" xfId="0" applyFont="1" applyFill="1" applyBorder="1" applyAlignment="1">
      <alignment/>
    </xf>
    <xf numFmtId="4" fontId="1" fillId="0" borderId="0" xfId="0" applyNumberFormat="1" applyFont="1" applyAlignment="1">
      <alignment/>
    </xf>
    <xf numFmtId="1" fontId="0" fillId="0" borderId="6" xfId="0" applyNumberFormat="1" applyFont="1" applyBorder="1" applyAlignment="1">
      <alignment/>
    </xf>
    <xf numFmtId="1" fontId="0" fillId="0" borderId="7" xfId="0" applyNumberFormat="1" applyFont="1" applyBorder="1" applyAlignment="1">
      <alignment/>
    </xf>
    <xf numFmtId="0" fontId="5" fillId="0" borderId="0" xfId="0" applyFont="1" applyAlignment="1">
      <alignment/>
    </xf>
    <xf numFmtId="1" fontId="5" fillId="0" borderId="2" xfId="0" applyNumberFormat="1" applyFont="1" applyBorder="1" applyAlignment="1">
      <alignment/>
    </xf>
    <xf numFmtId="1" fontId="5" fillId="0" borderId="3" xfId="0" applyNumberFormat="1" applyFont="1" applyBorder="1" applyAlignment="1">
      <alignment/>
    </xf>
    <xf numFmtId="0" fontId="5" fillId="0" borderId="5" xfId="0" applyFont="1" applyBorder="1" applyAlignment="1">
      <alignment horizontal="center"/>
    </xf>
    <xf numFmtId="0" fontId="6" fillId="0" borderId="1" xfId="0" applyFont="1" applyBorder="1" applyAlignment="1">
      <alignment/>
    </xf>
    <xf numFmtId="0" fontId="1" fillId="0" borderId="8" xfId="0" applyFont="1" applyBorder="1" applyAlignment="1">
      <alignment/>
    </xf>
    <xf numFmtId="0" fontId="6" fillId="0" borderId="9" xfId="0" applyFont="1" applyBorder="1" applyAlignment="1">
      <alignment/>
    </xf>
    <xf numFmtId="4" fontId="1" fillId="0" borderId="8" xfId="0" applyNumberFormat="1" applyFont="1" applyBorder="1" applyAlignment="1">
      <alignment/>
    </xf>
    <xf numFmtId="3" fontId="1" fillId="0" borderId="6" xfId="0" applyNumberFormat="1" applyFont="1" applyBorder="1" applyAlignment="1">
      <alignment/>
    </xf>
    <xf numFmtId="3" fontId="0" fillId="0" borderId="2" xfId="0" applyNumberFormat="1" applyFont="1" applyBorder="1" applyAlignment="1">
      <alignment/>
    </xf>
    <xf numFmtId="4" fontId="5" fillId="0" borderId="5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4" fontId="1" fillId="0" borderId="9" xfId="0" applyNumberFormat="1" applyFont="1" applyBorder="1" applyAlignment="1">
      <alignment/>
    </xf>
    <xf numFmtId="0" fontId="0" fillId="0" borderId="5" xfId="0" applyNumberFormat="1" applyBorder="1" applyAlignment="1">
      <alignment horizontal="center"/>
    </xf>
    <xf numFmtId="4" fontId="0" fillId="0" borderId="4" xfId="0" applyNumberFormat="1" applyFont="1" applyBorder="1" applyAlignment="1">
      <alignment/>
    </xf>
    <xf numFmtId="0" fontId="0" fillId="0" borderId="0" xfId="0" applyFont="1" applyAlignment="1">
      <alignment/>
    </xf>
    <xf numFmtId="1" fontId="5" fillId="0" borderId="10" xfId="0" applyNumberFormat="1" applyFont="1" applyBorder="1" applyAlignment="1">
      <alignment/>
    </xf>
    <xf numFmtId="4" fontId="1" fillId="0" borderId="4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left"/>
    </xf>
    <xf numFmtId="4" fontId="5" fillId="0" borderId="2" xfId="0" applyNumberFormat="1" applyFont="1" applyBorder="1" applyAlignment="1">
      <alignment/>
    </xf>
    <xf numFmtId="0" fontId="5" fillId="0" borderId="0" xfId="0" applyFont="1" applyAlignment="1">
      <alignment/>
    </xf>
    <xf numFmtId="3" fontId="0" fillId="0" borderId="4" xfId="0" applyNumberFormat="1" applyFont="1" applyBorder="1" applyAlignment="1">
      <alignment/>
    </xf>
    <xf numFmtId="4" fontId="0" fillId="0" borderId="0" xfId="0" applyNumberFormat="1" applyFont="1" applyBorder="1" applyAlignment="1">
      <alignment horizontal="center"/>
    </xf>
    <xf numFmtId="4" fontId="0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1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2" xfId="0" applyFont="1" applyBorder="1" applyAlignment="1">
      <alignment horizontal="centerContinuous"/>
    </xf>
    <xf numFmtId="0" fontId="0" fillId="0" borderId="2" xfId="0" applyFont="1" applyFill="1" applyBorder="1" applyAlignment="1">
      <alignment/>
    </xf>
    <xf numFmtId="0" fontId="0" fillId="0" borderId="2" xfId="0" applyFont="1" applyFill="1" applyBorder="1" applyAlignment="1">
      <alignment horizontal="center"/>
    </xf>
    <xf numFmtId="0" fontId="5" fillId="0" borderId="2" xfId="0" applyFont="1" applyFill="1" applyBorder="1" applyAlignment="1">
      <alignment/>
    </xf>
    <xf numFmtId="0" fontId="0" fillId="0" borderId="2" xfId="0" applyFont="1" applyBorder="1" applyAlignment="1">
      <alignment horizontal="centerContinuous"/>
    </xf>
    <xf numFmtId="0" fontId="0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Border="1" applyAlignment="1">
      <alignment horizontal="left"/>
    </xf>
    <xf numFmtId="0" fontId="0" fillId="0" borderId="2" xfId="0" applyFont="1" applyFill="1" applyBorder="1" applyAlignment="1">
      <alignment/>
    </xf>
    <xf numFmtId="1" fontId="5" fillId="0" borderId="2" xfId="0" applyNumberFormat="1" applyFont="1" applyBorder="1" applyAlignment="1">
      <alignment horizontal="center"/>
    </xf>
    <xf numFmtId="4" fontId="0" fillId="0" borderId="11" xfId="0" applyNumberFormat="1" applyFont="1" applyBorder="1" applyAlignment="1">
      <alignment horizontal="center"/>
    </xf>
    <xf numFmtId="4" fontId="0" fillId="0" borderId="4" xfId="0" applyNumberFormat="1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12" xfId="0" applyBorder="1" applyAlignment="1">
      <alignment/>
    </xf>
    <xf numFmtId="0" fontId="0" fillId="0" borderId="7" xfId="0" applyBorder="1" applyAlignment="1">
      <alignment/>
    </xf>
    <xf numFmtId="0" fontId="0" fillId="0" borderId="13" xfId="0" applyBorder="1" applyAlignment="1">
      <alignment/>
    </xf>
    <xf numFmtId="0" fontId="0" fillId="0" borderId="6" xfId="0" applyBorder="1" applyAlignment="1">
      <alignment/>
    </xf>
    <xf numFmtId="0" fontId="0" fillId="0" borderId="10" xfId="0" applyBorder="1" applyAlignment="1">
      <alignment/>
    </xf>
    <xf numFmtId="0" fontId="0" fillId="0" borderId="6" xfId="0" applyBorder="1" applyAlignment="1">
      <alignment horizontal="center"/>
    </xf>
    <xf numFmtId="0" fontId="0" fillId="0" borderId="9" xfId="0" applyBorder="1" applyAlignment="1">
      <alignment horizontal="center"/>
    </xf>
    <xf numFmtId="0" fontId="5" fillId="0" borderId="0" xfId="0" applyFont="1" applyBorder="1" applyAlignment="1">
      <alignment/>
    </xf>
    <xf numFmtId="0" fontId="0" fillId="0" borderId="3" xfId="0" applyBorder="1" applyAlignment="1">
      <alignment horizontal="center"/>
    </xf>
    <xf numFmtId="0" fontId="0" fillId="0" borderId="0" xfId="0" applyFont="1" applyBorder="1" applyAlignment="1">
      <alignment/>
    </xf>
    <xf numFmtId="1" fontId="0" fillId="0" borderId="10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0" fontId="1" fillId="0" borderId="1" xfId="0" applyFont="1" applyBorder="1" applyAlignment="1">
      <alignment horizontal="left"/>
    </xf>
    <xf numFmtId="4" fontId="0" fillId="0" borderId="1" xfId="0" applyNumberFormat="1" applyFont="1" applyBorder="1" applyAlignment="1">
      <alignment/>
    </xf>
    <xf numFmtId="3" fontId="0" fillId="0" borderId="1" xfId="0" applyNumberFormat="1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/>
    </xf>
    <xf numFmtId="0" fontId="5" fillId="0" borderId="1" xfId="0" applyFont="1" applyBorder="1" applyAlignment="1">
      <alignment/>
    </xf>
    <xf numFmtId="4" fontId="0" fillId="0" borderId="7" xfId="0" applyNumberFormat="1" applyFont="1" applyBorder="1" applyAlignment="1">
      <alignment/>
    </xf>
    <xf numFmtId="4" fontId="1" fillId="0" borderId="7" xfId="0" applyNumberFormat="1" applyFont="1" applyBorder="1" applyAlignment="1">
      <alignment/>
    </xf>
    <xf numFmtId="4" fontId="1" fillId="0" borderId="0" xfId="0" applyNumberFormat="1" applyFont="1" applyBorder="1" applyAlignment="1">
      <alignment/>
    </xf>
    <xf numFmtId="4" fontId="0" fillId="0" borderId="7" xfId="0" applyNumberFormat="1" applyFont="1" applyBorder="1" applyAlignment="1">
      <alignment/>
    </xf>
    <xf numFmtId="4" fontId="0" fillId="0" borderId="2" xfId="0" applyNumberFormat="1" applyFont="1" applyBorder="1" applyAlignment="1">
      <alignment/>
    </xf>
    <xf numFmtId="4" fontId="0" fillId="0" borderId="2" xfId="0" applyNumberFormat="1" applyFont="1" applyFill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3" xfId="0" applyNumberFormat="1" applyFont="1" applyBorder="1" applyAlignment="1">
      <alignment/>
    </xf>
    <xf numFmtId="0" fontId="0" fillId="0" borderId="14" xfId="0" applyBorder="1" applyAlignment="1">
      <alignment/>
    </xf>
    <xf numFmtId="0" fontId="1" fillId="0" borderId="2" xfId="0" applyFont="1" applyBorder="1" applyAlignment="1">
      <alignment horizontal="center"/>
    </xf>
    <xf numFmtId="0" fontId="6" fillId="0" borderId="2" xfId="0" applyFont="1" applyBorder="1" applyAlignment="1">
      <alignment/>
    </xf>
    <xf numFmtId="4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/>
    </xf>
    <xf numFmtId="4" fontId="1" fillId="0" borderId="0" xfId="0" applyNumberFormat="1" applyFont="1" applyAlignment="1">
      <alignment/>
    </xf>
    <xf numFmtId="4" fontId="1" fillId="0" borderId="7" xfId="0" applyNumberFormat="1" applyFont="1" applyBorder="1" applyAlignment="1">
      <alignment/>
    </xf>
    <xf numFmtId="0" fontId="0" fillId="0" borderId="4" xfId="0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0" fillId="0" borderId="4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" xfId="0" applyFont="1" applyBorder="1" applyAlignment="1">
      <alignment horizontal="centerContinuous"/>
    </xf>
    <xf numFmtId="0" fontId="1" fillId="0" borderId="3" xfId="0" applyFont="1" applyBorder="1" applyAlignment="1">
      <alignment horizontal="left"/>
    </xf>
    <xf numFmtId="0" fontId="5" fillId="0" borderId="3" xfId="0" applyFont="1" applyBorder="1" applyAlignment="1">
      <alignment/>
    </xf>
    <xf numFmtId="3" fontId="0" fillId="0" borderId="5" xfId="0" applyNumberFormat="1" applyFont="1" applyBorder="1" applyAlignment="1">
      <alignment/>
    </xf>
    <xf numFmtId="4" fontId="0" fillId="0" borderId="5" xfId="0" applyNumberFormat="1" applyFont="1" applyBorder="1" applyAlignment="1">
      <alignment/>
    </xf>
    <xf numFmtId="0" fontId="0" fillId="0" borderId="3" xfId="0" applyFont="1" applyBorder="1" applyAlignment="1">
      <alignment horizontal="centerContinuous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4" fontId="0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Arkusz1!#REF!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"/>
          <c:order val="1"/>
          <c:tx>
            <c:strRef>
              <c:f>Arkusz1!#REF!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"/>
          <c:order val="2"/>
          <c:tx>
            <c:strRef>
              <c:f>Arkusz1!#REF!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3"/>
          <c:order val="3"/>
          <c:tx>
            <c:strRef>
              <c:f>Arkusz1!#REF!</c:f>
              <c:strCache>
                <c:ptCount val="1"/>
                <c:pt idx="0">
                  <c:v>5 000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Arkusz1!#REF!</c:f>
              <c:numCache>
                <c:ptCount val="5"/>
                <c:pt idx="0">
                  <c:v>29800</c:v>
                </c:pt>
                <c:pt idx="1">
                  <c:v>29800</c:v>
                </c:pt>
                <c:pt idx="2">
                  <c:v>19736.28</c:v>
                </c:pt>
                <c:pt idx="3">
                  <c:v>0.6622912751677852</c:v>
                </c:pt>
                <c:pt idx="4">
                  <c:v>0.0004952672313233854</c:v>
                </c:pt>
              </c:numCache>
            </c:numRef>
          </c:val>
        </c:ser>
        <c:ser>
          <c:idx val="4"/>
          <c:order val="4"/>
          <c:tx>
            <c:strRef>
              <c:f>Arkusz1!#REF!</c:f>
              <c:strCache>
                <c:ptCount val="1"/>
                <c:pt idx="0">
                  <c:v>3 000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Arkusz1!#REF!</c:f>
              <c:numCache>
                <c:ptCount val="5"/>
                <c:pt idx="0">
                  <c:v>21000</c:v>
                </c:pt>
                <c:pt idx="1">
                  <c:v>21000</c:v>
                </c:pt>
                <c:pt idx="2">
                  <c:v>11149.14</c:v>
                </c:pt>
                <c:pt idx="3">
                  <c:v>0.5309114285714286</c:v>
                </c:pt>
                <c:pt idx="4">
                  <c:v>0.0003490138207312448</c:v>
                </c:pt>
              </c:numCache>
            </c:numRef>
          </c:val>
        </c:ser>
        <c:ser>
          <c:idx val="5"/>
          <c:order val="5"/>
          <c:tx>
            <c:strRef>
              <c:f>Arkusz1!#REF!</c:f>
              <c:strCache>
                <c:ptCount val="1"/>
                <c:pt idx="0">
                  <c:v>#ADR!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Arkusz1!#REF!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Arkusz1!#REF!</c:f>
              <c:numCache>
                <c:ptCount val="1"/>
                <c:pt idx="0">
                  <c:v>1</c:v>
                </c:pt>
              </c:numCache>
            </c:numRef>
          </c:val>
        </c:ser>
        <c:axId val="29292808"/>
        <c:axId val="62308681"/>
      </c:barChart>
      <c:catAx>
        <c:axId val="2929280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62308681"/>
        <c:crosses val="autoZero"/>
        <c:auto val="1"/>
        <c:lblOffset val="100"/>
        <c:noMultiLvlLbl val="0"/>
      </c:catAx>
      <c:valAx>
        <c:axId val="6230868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29280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 CE"/>
          <a:ea typeface="Arial CE"/>
          <a:cs typeface="Arial CE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0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39250" cy="5753100"/>
    <xdr:graphicFrame>
      <xdr:nvGraphicFramePr>
        <xdr:cNvPr id="1" name="Chart 1"/>
        <xdr:cNvGraphicFramePr/>
      </xdr:nvGraphicFramePr>
      <xdr:xfrm>
        <a:off x="0" y="0"/>
        <a:ext cx="9239250" cy="57531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25"/>
  <sheetViews>
    <sheetView tabSelected="1" workbookViewId="0" topLeftCell="A44">
      <selection activeCell="M55" sqref="M55:M56"/>
    </sheetView>
  </sheetViews>
  <sheetFormatPr defaultColWidth="9.00390625" defaultRowHeight="12.75"/>
  <cols>
    <col min="1" max="1" width="6.625" style="53" customWidth="1"/>
    <col min="2" max="2" width="6.00390625" style="0" customWidth="1"/>
    <col min="3" max="3" width="38.625" style="37" customWidth="1"/>
    <col min="4" max="4" width="12.00390625" style="11" hidden="1" customWidth="1"/>
    <col min="5" max="5" width="10.75390625" style="15" hidden="1" customWidth="1"/>
    <col min="6" max="6" width="13.875" style="15" customWidth="1"/>
    <col min="7" max="7" width="13.625" style="0" customWidth="1"/>
    <col min="8" max="8" width="13.00390625" style="0" customWidth="1"/>
    <col min="9" max="9" width="14.00390625" style="0" customWidth="1"/>
    <col min="10" max="10" width="11.75390625" style="0" customWidth="1"/>
    <col min="11" max="11" width="11.00390625" style="0" customWidth="1"/>
    <col min="12" max="12" width="13.00390625" style="0" customWidth="1"/>
    <col min="13" max="13" width="14.00390625" style="0" customWidth="1"/>
    <col min="14" max="14" width="12.75390625" style="0" bestFit="1" customWidth="1"/>
  </cols>
  <sheetData>
    <row r="1" spans="1:10" ht="12.75">
      <c r="A1" s="8"/>
      <c r="J1" t="s">
        <v>110</v>
      </c>
    </row>
    <row r="2" spans="1:10" ht="12.75">
      <c r="A2" s="8"/>
      <c r="J2" t="s">
        <v>113</v>
      </c>
    </row>
    <row r="3" spans="1:10" ht="12.75">
      <c r="A3" s="8"/>
      <c r="J3" t="s">
        <v>109</v>
      </c>
    </row>
    <row r="4" spans="1:10" s="56" customFormat="1" ht="12.75">
      <c r="A4" s="130" t="s">
        <v>95</v>
      </c>
      <c r="B4" s="130"/>
      <c r="C4" s="130"/>
      <c r="D4" s="130"/>
      <c r="E4" s="130"/>
      <c r="F4" s="130"/>
      <c r="G4" s="130"/>
      <c r="H4" s="130"/>
      <c r="I4" s="130"/>
      <c r="J4" s="8" t="s">
        <v>114</v>
      </c>
    </row>
    <row r="5" spans="1:9" s="63" customFormat="1" ht="12.75">
      <c r="A5" s="131" t="s">
        <v>96</v>
      </c>
      <c r="B5" s="131"/>
      <c r="C5" s="131"/>
      <c r="D5" s="131"/>
      <c r="E5" s="131"/>
      <c r="F5" s="131"/>
      <c r="G5" s="131"/>
      <c r="H5" s="131"/>
      <c r="I5" s="131"/>
    </row>
    <row r="6" spans="1:13" ht="14.25" customHeight="1">
      <c r="A6" s="64"/>
      <c r="B6" s="22"/>
      <c r="C6" s="41"/>
      <c r="D6" s="9"/>
      <c r="E6" s="14"/>
      <c r="F6" s="14"/>
      <c r="G6" s="2"/>
      <c r="H6" s="2"/>
      <c r="I6" s="2"/>
      <c r="J6" s="2"/>
      <c r="K6" s="2"/>
      <c r="L6" s="2"/>
      <c r="M6" s="2"/>
    </row>
    <row r="7" spans="1:13" ht="14.25" customHeight="1">
      <c r="A7" s="65"/>
      <c r="B7" s="3"/>
      <c r="C7" s="38"/>
      <c r="D7" s="12" t="s">
        <v>0</v>
      </c>
      <c r="E7" s="35" t="s">
        <v>65</v>
      </c>
      <c r="F7" s="81"/>
      <c r="G7" s="2" t="s">
        <v>5</v>
      </c>
      <c r="H7" s="2"/>
      <c r="I7" s="2"/>
      <c r="J7" s="2"/>
      <c r="K7" s="2"/>
      <c r="L7" s="2"/>
      <c r="M7" s="110"/>
    </row>
    <row r="8" spans="1:13" ht="14.25" customHeight="1">
      <c r="A8" s="65"/>
      <c r="B8" s="3"/>
      <c r="C8" s="38"/>
      <c r="D8" s="12"/>
      <c r="E8" s="36"/>
      <c r="F8" s="82" t="s">
        <v>93</v>
      </c>
      <c r="G8" s="16"/>
      <c r="H8" s="87" t="s">
        <v>8</v>
      </c>
      <c r="I8" s="83"/>
      <c r="J8" s="83"/>
      <c r="K8" s="83"/>
      <c r="L8" s="83"/>
      <c r="M8" s="86"/>
    </row>
    <row r="9" spans="1:13" ht="14.25" customHeight="1">
      <c r="A9" s="65"/>
      <c r="B9" s="3"/>
      <c r="C9" s="38"/>
      <c r="D9" s="12"/>
      <c r="E9" s="36"/>
      <c r="F9" s="61" t="s">
        <v>94</v>
      </c>
      <c r="G9" s="3" t="s">
        <v>98</v>
      </c>
      <c r="H9" s="85"/>
      <c r="I9" s="84"/>
      <c r="J9" s="84"/>
      <c r="K9" s="86"/>
      <c r="L9" s="86" t="s">
        <v>98</v>
      </c>
      <c r="M9" s="3" t="s">
        <v>106</v>
      </c>
    </row>
    <row r="10" spans="1:13" ht="12.75">
      <c r="A10" s="65" t="s">
        <v>89</v>
      </c>
      <c r="B10" s="17" t="s">
        <v>90</v>
      </c>
      <c r="C10" s="80" t="s">
        <v>97</v>
      </c>
      <c r="D10" s="12" t="s">
        <v>1</v>
      </c>
      <c r="E10" s="36" t="s">
        <v>66</v>
      </c>
      <c r="G10" s="3" t="s">
        <v>6</v>
      </c>
      <c r="H10" s="91" t="s">
        <v>108</v>
      </c>
      <c r="I10" s="85" t="s">
        <v>99</v>
      </c>
      <c r="J10" s="85" t="s">
        <v>101</v>
      </c>
      <c r="K10" s="3" t="s">
        <v>102</v>
      </c>
      <c r="L10" s="3" t="s">
        <v>104</v>
      </c>
      <c r="M10" s="3" t="s">
        <v>107</v>
      </c>
    </row>
    <row r="11" spans="1:13" ht="12.75">
      <c r="A11" s="66"/>
      <c r="B11" s="4"/>
      <c r="C11" s="39"/>
      <c r="D11" s="13" t="s">
        <v>2</v>
      </c>
      <c r="E11" s="54" t="s">
        <v>67</v>
      </c>
      <c r="F11" s="47"/>
      <c r="H11" s="88"/>
      <c r="I11" s="88" t="s">
        <v>100</v>
      </c>
      <c r="J11" s="88"/>
      <c r="K11" s="4" t="s">
        <v>103</v>
      </c>
      <c r="L11" s="88" t="s">
        <v>105</v>
      </c>
      <c r="M11" s="4"/>
    </row>
    <row r="12" spans="1:13" ht="12.75">
      <c r="A12" s="67">
        <v>1</v>
      </c>
      <c r="B12" s="21">
        <v>2</v>
      </c>
      <c r="C12" s="40">
        <v>3</v>
      </c>
      <c r="D12" s="21"/>
      <c r="E12" s="21">
        <v>4</v>
      </c>
      <c r="F12" s="51">
        <v>4</v>
      </c>
      <c r="G12" s="89">
        <v>5</v>
      </c>
      <c r="H12" s="89">
        <v>6</v>
      </c>
      <c r="I12" s="89">
        <v>7</v>
      </c>
      <c r="J12" s="89">
        <v>8</v>
      </c>
      <c r="K12" s="90">
        <v>9</v>
      </c>
      <c r="L12" s="90">
        <v>10</v>
      </c>
      <c r="M12" s="92">
        <v>11</v>
      </c>
    </row>
    <row r="13" spans="1:13" ht="12.75">
      <c r="A13" s="57" t="s">
        <v>23</v>
      </c>
      <c r="B13" s="6"/>
      <c r="C13" s="32" t="s">
        <v>26</v>
      </c>
      <c r="D13" s="10"/>
      <c r="E13" s="18" t="e">
        <f>E14+E15</f>
        <v>#REF!</v>
      </c>
      <c r="F13" s="10">
        <f>F14+F15</f>
        <v>792120</v>
      </c>
      <c r="G13" s="10">
        <f aca="true" t="shared" si="0" ref="G13:M13">G14+G15</f>
        <v>15300</v>
      </c>
      <c r="H13" s="10">
        <f t="shared" si="0"/>
        <v>0</v>
      </c>
      <c r="I13" s="10">
        <f t="shared" si="0"/>
        <v>0</v>
      </c>
      <c r="J13" s="10">
        <f t="shared" si="0"/>
        <v>0</v>
      </c>
      <c r="K13" s="10">
        <f t="shared" si="0"/>
        <v>0</v>
      </c>
      <c r="L13" s="10">
        <f t="shared" si="0"/>
        <v>0</v>
      </c>
      <c r="M13" s="10">
        <f t="shared" si="0"/>
        <v>776820</v>
      </c>
    </row>
    <row r="14" spans="1:13" s="53" customFormat="1" ht="12.75">
      <c r="A14" s="57"/>
      <c r="B14" s="68" t="s">
        <v>68</v>
      </c>
      <c r="C14" s="17" t="s">
        <v>69</v>
      </c>
      <c r="D14" s="48"/>
      <c r="E14" s="46" t="e">
        <f>#REF!</f>
        <v>#REF!</v>
      </c>
      <c r="F14" s="48">
        <v>300</v>
      </c>
      <c r="G14" s="62">
        <f>F14</f>
        <v>300</v>
      </c>
      <c r="H14" s="102">
        <v>0</v>
      </c>
      <c r="I14" s="102">
        <v>0</v>
      </c>
      <c r="J14" s="102">
        <v>0</v>
      </c>
      <c r="K14" s="48">
        <v>0</v>
      </c>
      <c r="L14" s="48">
        <v>0</v>
      </c>
      <c r="M14" s="48">
        <v>0</v>
      </c>
    </row>
    <row r="15" spans="1:13" s="53" customFormat="1" ht="12.75">
      <c r="A15" s="57"/>
      <c r="B15" s="69" t="s">
        <v>24</v>
      </c>
      <c r="C15" s="17" t="s">
        <v>7</v>
      </c>
      <c r="D15" s="48"/>
      <c r="E15" s="46" t="e">
        <f>SUM(#REF!)</f>
        <v>#REF!</v>
      </c>
      <c r="F15" s="48">
        <v>791820</v>
      </c>
      <c r="G15" s="62">
        <v>15000</v>
      </c>
      <c r="H15" s="102">
        <v>0</v>
      </c>
      <c r="I15" s="102">
        <v>0</v>
      </c>
      <c r="J15" s="102">
        <v>0</v>
      </c>
      <c r="K15" s="48">
        <v>0</v>
      </c>
      <c r="L15" s="48">
        <v>0</v>
      </c>
      <c r="M15" s="48">
        <f>F15-G15</f>
        <v>776820</v>
      </c>
    </row>
    <row r="16" spans="1:13" s="56" customFormat="1" ht="12.75">
      <c r="A16" s="57">
        <v>400</v>
      </c>
      <c r="B16" s="111"/>
      <c r="C16" s="112" t="s">
        <v>111</v>
      </c>
      <c r="D16" s="113"/>
      <c r="E16" s="114"/>
      <c r="F16" s="113"/>
      <c r="G16" s="115"/>
      <c r="H16" s="116"/>
      <c r="I16" s="116"/>
      <c r="J16" s="116"/>
      <c r="K16" s="113"/>
      <c r="L16" s="113"/>
      <c r="M16" s="113"/>
    </row>
    <row r="17" spans="1:13" s="56" customFormat="1" ht="12.75">
      <c r="A17" s="57"/>
      <c r="B17" s="111"/>
      <c r="C17" s="112" t="s">
        <v>112</v>
      </c>
      <c r="D17" s="113"/>
      <c r="E17" s="114"/>
      <c r="F17" s="113">
        <f>F18</f>
        <v>5000</v>
      </c>
      <c r="G17" s="113">
        <f aca="true" t="shared" si="1" ref="G17:M17">G18</f>
        <v>5000</v>
      </c>
      <c r="H17" s="113">
        <f t="shared" si="1"/>
        <v>0</v>
      </c>
      <c r="I17" s="113">
        <f t="shared" si="1"/>
        <v>0</v>
      </c>
      <c r="J17" s="113">
        <f t="shared" si="1"/>
        <v>0</v>
      </c>
      <c r="K17" s="113">
        <f t="shared" si="1"/>
        <v>0</v>
      </c>
      <c r="L17" s="113">
        <f t="shared" si="1"/>
        <v>0</v>
      </c>
      <c r="M17" s="113">
        <f t="shared" si="1"/>
        <v>0</v>
      </c>
    </row>
    <row r="18" spans="1:13" s="53" customFormat="1" ht="12.75">
      <c r="A18" s="57"/>
      <c r="B18" s="69">
        <v>40095</v>
      </c>
      <c r="C18" s="17" t="s">
        <v>7</v>
      </c>
      <c r="D18" s="48"/>
      <c r="E18" s="46"/>
      <c r="F18" s="48">
        <v>5000</v>
      </c>
      <c r="G18" s="62">
        <v>5000</v>
      </c>
      <c r="H18" s="102">
        <v>0</v>
      </c>
      <c r="I18" s="102">
        <v>0</v>
      </c>
      <c r="J18" s="102">
        <v>0</v>
      </c>
      <c r="K18" s="48">
        <v>0</v>
      </c>
      <c r="L18" s="48">
        <v>0</v>
      </c>
      <c r="M18" s="48">
        <v>0</v>
      </c>
    </row>
    <row r="19" spans="1:14" ht="15">
      <c r="A19" s="57">
        <v>600</v>
      </c>
      <c r="B19" s="7"/>
      <c r="C19" s="32" t="s">
        <v>25</v>
      </c>
      <c r="D19" s="10"/>
      <c r="E19" s="18" t="e">
        <f>#REF!+E21</f>
        <v>#REF!</v>
      </c>
      <c r="F19" s="10">
        <f>SUM(F20:F22)</f>
        <v>18096936.95</v>
      </c>
      <c r="G19" s="10">
        <f aca="true" t="shared" si="2" ref="G19:M19">SUM(G20:G22)</f>
        <v>761000</v>
      </c>
      <c r="H19" s="10">
        <f t="shared" si="2"/>
        <v>0</v>
      </c>
      <c r="I19" s="10">
        <f t="shared" si="2"/>
        <v>0</v>
      </c>
      <c r="J19" s="10">
        <f t="shared" si="2"/>
        <v>0</v>
      </c>
      <c r="K19" s="10">
        <f t="shared" si="2"/>
        <v>0</v>
      </c>
      <c r="L19" s="10">
        <f t="shared" si="2"/>
        <v>0</v>
      </c>
      <c r="M19" s="10">
        <f t="shared" si="2"/>
        <v>17335936.95</v>
      </c>
      <c r="N19" s="11"/>
    </row>
    <row r="20" spans="1:13" ht="12.75">
      <c r="A20" s="57"/>
      <c r="B20" s="78">
        <v>60014</v>
      </c>
      <c r="C20" s="17" t="s">
        <v>115</v>
      </c>
      <c r="D20" s="10"/>
      <c r="E20" s="18"/>
      <c r="F20" s="106">
        <v>500000</v>
      </c>
      <c r="G20" s="132">
        <v>0</v>
      </c>
      <c r="H20" s="105">
        <v>0</v>
      </c>
      <c r="I20" s="105">
        <v>0</v>
      </c>
      <c r="J20" s="105">
        <v>0</v>
      </c>
      <c r="K20" s="106">
        <v>0</v>
      </c>
      <c r="L20" s="106">
        <v>0</v>
      </c>
      <c r="M20" s="106">
        <v>500000</v>
      </c>
    </row>
    <row r="21" spans="1:13" s="53" customFormat="1" ht="12.75">
      <c r="A21" s="57"/>
      <c r="B21" s="70">
        <v>60016</v>
      </c>
      <c r="C21" s="17" t="s">
        <v>9</v>
      </c>
      <c r="D21" s="48"/>
      <c r="E21" s="46" t="e">
        <f>#REF!+#REF!+#REF!</f>
        <v>#REF!</v>
      </c>
      <c r="F21" s="48">
        <v>17253705.95</v>
      </c>
      <c r="G21" s="62">
        <f>F21-M21</f>
        <v>641000</v>
      </c>
      <c r="H21" s="102"/>
      <c r="I21" s="102">
        <v>0</v>
      </c>
      <c r="J21" s="102">
        <v>0</v>
      </c>
      <c r="K21" s="48">
        <v>0</v>
      </c>
      <c r="L21" s="48">
        <v>0</v>
      </c>
      <c r="M21" s="48">
        <v>16612705.95</v>
      </c>
    </row>
    <row r="22" spans="1:13" s="53" customFormat="1" ht="12.75">
      <c r="A22" s="57"/>
      <c r="B22" s="69">
        <v>60095</v>
      </c>
      <c r="C22" s="17" t="s">
        <v>10</v>
      </c>
      <c r="D22" s="48"/>
      <c r="E22" s="60"/>
      <c r="F22" s="48">
        <v>343231</v>
      </c>
      <c r="G22" s="62">
        <v>120000</v>
      </c>
      <c r="H22" s="102">
        <v>0</v>
      </c>
      <c r="I22" s="102">
        <v>0</v>
      </c>
      <c r="J22" s="102">
        <v>0</v>
      </c>
      <c r="K22" s="48">
        <v>0</v>
      </c>
      <c r="L22" s="48">
        <v>0</v>
      </c>
      <c r="M22" s="48">
        <f>F22-G22</f>
        <v>223231</v>
      </c>
    </row>
    <row r="23" spans="1:13" s="28" customFormat="1" ht="12.75">
      <c r="A23" s="57">
        <v>630</v>
      </c>
      <c r="B23" s="23"/>
      <c r="C23" s="32" t="s">
        <v>56</v>
      </c>
      <c r="D23" s="25"/>
      <c r="E23" s="26" t="e">
        <f>E24</f>
        <v>#REF!</v>
      </c>
      <c r="F23" s="25">
        <f>F24</f>
        <v>1707390</v>
      </c>
      <c r="G23" s="25">
        <f aca="true" t="shared" si="3" ref="G23:M23">G24</f>
        <v>607390</v>
      </c>
      <c r="H23" s="25">
        <f t="shared" si="3"/>
        <v>112900</v>
      </c>
      <c r="I23" s="25">
        <f t="shared" si="3"/>
        <v>18800</v>
      </c>
      <c r="J23" s="25">
        <f t="shared" si="3"/>
        <v>0</v>
      </c>
      <c r="K23" s="25">
        <f t="shared" si="3"/>
        <v>0</v>
      </c>
      <c r="L23" s="25">
        <f t="shared" si="3"/>
        <v>0</v>
      </c>
      <c r="M23" s="25">
        <f t="shared" si="3"/>
        <v>1100000</v>
      </c>
    </row>
    <row r="24" spans="1:14" s="53" customFormat="1" ht="12.75">
      <c r="A24" s="57"/>
      <c r="B24" s="68">
        <v>63095</v>
      </c>
      <c r="C24" s="17" t="s">
        <v>10</v>
      </c>
      <c r="D24" s="48"/>
      <c r="E24" s="46" t="e">
        <f>#REF!+#REF!+#REF!</f>
        <v>#REF!</v>
      </c>
      <c r="F24" s="48">
        <v>1707390</v>
      </c>
      <c r="G24" s="62">
        <f>F24-M24</f>
        <v>607390</v>
      </c>
      <c r="H24" s="102">
        <f>97000+4400+11500</f>
        <v>112900</v>
      </c>
      <c r="I24" s="102">
        <f>16300+2500</f>
        <v>18800</v>
      </c>
      <c r="J24" s="102">
        <v>0</v>
      </c>
      <c r="K24" s="48">
        <v>0</v>
      </c>
      <c r="L24" s="48">
        <v>0</v>
      </c>
      <c r="M24" s="48">
        <v>1100000</v>
      </c>
      <c r="N24" s="62"/>
    </row>
    <row r="25" spans="1:13" s="1" customFormat="1" ht="12.75">
      <c r="A25" s="57">
        <v>700</v>
      </c>
      <c r="B25" s="23"/>
      <c r="C25" s="32" t="s">
        <v>27</v>
      </c>
      <c r="D25" s="10"/>
      <c r="E25" s="18" t="e">
        <f>#REF!+E26+#REF!+E27</f>
        <v>#REF!</v>
      </c>
      <c r="F25" s="10">
        <f>+F26+F27</f>
        <v>2394243.92</v>
      </c>
      <c r="G25" s="10">
        <f aca="true" t="shared" si="4" ref="G25:M25">+G26+G27</f>
        <v>1921437.5999999999</v>
      </c>
      <c r="H25" s="10">
        <f t="shared" si="4"/>
        <v>0</v>
      </c>
      <c r="I25" s="10">
        <f t="shared" si="4"/>
        <v>0</v>
      </c>
      <c r="J25" s="10">
        <f t="shared" si="4"/>
        <v>0</v>
      </c>
      <c r="K25" s="10">
        <f t="shared" si="4"/>
        <v>0</v>
      </c>
      <c r="L25" s="10">
        <f t="shared" si="4"/>
        <v>0</v>
      </c>
      <c r="M25" s="10">
        <f t="shared" si="4"/>
        <v>472806.32</v>
      </c>
    </row>
    <row r="26" spans="1:13" s="59" customFormat="1" ht="12.75">
      <c r="A26" s="57"/>
      <c r="B26" s="68">
        <v>70005</v>
      </c>
      <c r="C26" s="17" t="s">
        <v>28</v>
      </c>
      <c r="D26" s="58"/>
      <c r="E26" s="46" t="e">
        <f>#REF!+#REF!+#REF!</f>
        <v>#REF!</v>
      </c>
      <c r="F26" s="48">
        <v>838500</v>
      </c>
      <c r="G26" s="15">
        <v>838500</v>
      </c>
      <c r="H26" s="105">
        <v>0</v>
      </c>
      <c r="I26" s="105">
        <v>0</v>
      </c>
      <c r="J26" s="105">
        <v>0</v>
      </c>
      <c r="K26" s="106">
        <v>0</v>
      </c>
      <c r="L26" s="106">
        <v>0</v>
      </c>
      <c r="M26" s="106">
        <v>0</v>
      </c>
    </row>
    <row r="27" spans="1:13" s="59" customFormat="1" ht="12.75">
      <c r="A27" s="57"/>
      <c r="B27" s="69">
        <v>70095</v>
      </c>
      <c r="C27" s="17" t="s">
        <v>10</v>
      </c>
      <c r="D27" s="58"/>
      <c r="E27" s="46" t="e">
        <f>#REF!+#REF!</f>
        <v>#REF!</v>
      </c>
      <c r="F27" s="48">
        <v>1555743.92</v>
      </c>
      <c r="G27" s="15">
        <f>F27-M27</f>
        <v>1082937.5999999999</v>
      </c>
      <c r="H27" s="105">
        <v>0</v>
      </c>
      <c r="I27" s="105">
        <v>0</v>
      </c>
      <c r="J27" s="105">
        <v>0</v>
      </c>
      <c r="K27" s="106">
        <v>0</v>
      </c>
      <c r="L27" s="106">
        <v>0</v>
      </c>
      <c r="M27" s="106">
        <v>472806.32</v>
      </c>
    </row>
    <row r="28" spans="1:13" s="28" customFormat="1" ht="12.75">
      <c r="A28" s="57">
        <v>710</v>
      </c>
      <c r="B28" s="23"/>
      <c r="C28" s="32" t="s">
        <v>29</v>
      </c>
      <c r="D28" s="25"/>
      <c r="E28" s="26" t="e">
        <f>E29+E30+E31</f>
        <v>#REF!</v>
      </c>
      <c r="F28" s="25">
        <f>+F29+F30+F31</f>
        <v>1563202</v>
      </c>
      <c r="G28" s="25">
        <f aca="true" t="shared" si="5" ref="G28:M28">+G29+G30+G31</f>
        <v>863202</v>
      </c>
      <c r="H28" s="25">
        <f t="shared" si="5"/>
        <v>0</v>
      </c>
      <c r="I28" s="25">
        <f t="shared" si="5"/>
        <v>0</v>
      </c>
      <c r="J28" s="25">
        <f t="shared" si="5"/>
        <v>0</v>
      </c>
      <c r="K28" s="25">
        <f t="shared" si="5"/>
        <v>0</v>
      </c>
      <c r="L28" s="25">
        <f t="shared" si="5"/>
        <v>0</v>
      </c>
      <c r="M28" s="25">
        <f t="shared" si="5"/>
        <v>700000</v>
      </c>
    </row>
    <row r="29" spans="1:13" s="53" customFormat="1" ht="12.75">
      <c r="A29" s="57"/>
      <c r="B29" s="68">
        <v>71004</v>
      </c>
      <c r="C29" s="17" t="s">
        <v>30</v>
      </c>
      <c r="D29" s="48"/>
      <c r="E29" s="46" t="e">
        <f>#REF!</f>
        <v>#REF!</v>
      </c>
      <c r="F29" s="48">
        <v>805202</v>
      </c>
      <c r="G29" s="62">
        <v>805202</v>
      </c>
      <c r="H29" s="102">
        <v>0</v>
      </c>
      <c r="I29" s="102">
        <v>0</v>
      </c>
      <c r="J29" s="102">
        <v>0</v>
      </c>
      <c r="K29" s="48">
        <v>0</v>
      </c>
      <c r="L29" s="48">
        <v>0</v>
      </c>
      <c r="M29" s="48">
        <v>0</v>
      </c>
    </row>
    <row r="30" spans="1:13" s="53" customFormat="1" ht="12.75">
      <c r="A30" s="57"/>
      <c r="B30" s="69">
        <v>71014</v>
      </c>
      <c r="C30" s="17" t="s">
        <v>12</v>
      </c>
      <c r="D30" s="48"/>
      <c r="E30" s="46" t="e">
        <f>#REF!</f>
        <v>#REF!</v>
      </c>
      <c r="F30" s="48">
        <v>58000</v>
      </c>
      <c r="G30" s="62">
        <v>58000</v>
      </c>
      <c r="H30" s="102">
        <v>0</v>
      </c>
      <c r="I30" s="102">
        <v>0</v>
      </c>
      <c r="J30" s="102">
        <v>0</v>
      </c>
      <c r="K30" s="48">
        <v>0</v>
      </c>
      <c r="L30" s="48">
        <v>0</v>
      </c>
      <c r="M30" s="48">
        <v>0</v>
      </c>
    </row>
    <row r="31" spans="1:13" s="53" customFormat="1" ht="12.75">
      <c r="A31" s="57"/>
      <c r="B31" s="69">
        <v>71035</v>
      </c>
      <c r="C31" s="17" t="s">
        <v>70</v>
      </c>
      <c r="D31" s="48"/>
      <c r="E31" s="60" t="e">
        <f>#REF!</f>
        <v>#REF!</v>
      </c>
      <c r="F31" s="52">
        <v>700000</v>
      </c>
      <c r="G31" s="62">
        <v>0</v>
      </c>
      <c r="H31" s="102">
        <v>0</v>
      </c>
      <c r="I31" s="102">
        <v>0</v>
      </c>
      <c r="J31" s="102">
        <v>0</v>
      </c>
      <c r="K31" s="48">
        <v>0</v>
      </c>
      <c r="L31" s="48">
        <v>0</v>
      </c>
      <c r="M31" s="48">
        <v>700000</v>
      </c>
    </row>
    <row r="32" spans="1:13" s="28" customFormat="1" ht="12.75">
      <c r="A32" s="57">
        <v>750</v>
      </c>
      <c r="B32" s="23"/>
      <c r="C32" s="32" t="s">
        <v>31</v>
      </c>
      <c r="D32" s="25"/>
      <c r="E32" s="29" t="e">
        <f>E33+E34+E35+E36+#REF!+E38</f>
        <v>#REF!</v>
      </c>
      <c r="F32" s="49">
        <f>F33+F34+F35+F36+F37+F38</f>
        <v>5880150</v>
      </c>
      <c r="G32" s="49">
        <f aca="true" t="shared" si="6" ref="G32:M32">G33+G34+G35+G36+G37+G38</f>
        <v>5616150</v>
      </c>
      <c r="H32" s="49">
        <f t="shared" si="6"/>
        <v>2548450</v>
      </c>
      <c r="I32" s="49">
        <f t="shared" si="6"/>
        <v>441900</v>
      </c>
      <c r="J32" s="49">
        <f t="shared" si="6"/>
        <v>0</v>
      </c>
      <c r="K32" s="49">
        <f t="shared" si="6"/>
        <v>0</v>
      </c>
      <c r="L32" s="49">
        <f t="shared" si="6"/>
        <v>0</v>
      </c>
      <c r="M32" s="49">
        <f t="shared" si="6"/>
        <v>264000</v>
      </c>
    </row>
    <row r="33" spans="1:13" s="53" customFormat="1" ht="12.75">
      <c r="A33" s="57"/>
      <c r="B33" s="68">
        <v>75011</v>
      </c>
      <c r="C33" s="17" t="s">
        <v>17</v>
      </c>
      <c r="D33" s="48"/>
      <c r="E33" s="60" t="e">
        <f>SUM(#REF!)</f>
        <v>#REF!</v>
      </c>
      <c r="F33" s="52">
        <v>222900</v>
      </c>
      <c r="G33" s="62">
        <v>222900</v>
      </c>
      <c r="H33" s="102">
        <f>166000+13000</f>
        <v>179000</v>
      </c>
      <c r="I33" s="102">
        <f>28000+4400</f>
        <v>32400</v>
      </c>
      <c r="J33" s="102">
        <v>0</v>
      </c>
      <c r="K33" s="48">
        <v>0</v>
      </c>
      <c r="L33" s="48">
        <v>0</v>
      </c>
      <c r="M33" s="48">
        <v>0</v>
      </c>
    </row>
    <row r="34" spans="1:13" s="53" customFormat="1" ht="12.75">
      <c r="A34" s="57"/>
      <c r="B34" s="69">
        <v>75022</v>
      </c>
      <c r="C34" s="17" t="s">
        <v>32</v>
      </c>
      <c r="D34" s="48"/>
      <c r="E34" s="60" t="e">
        <f>#REF!+#REF!+#REF!+#REF!+#REF!</f>
        <v>#REF!</v>
      </c>
      <c r="F34" s="52">
        <v>166000</v>
      </c>
      <c r="G34" s="62">
        <v>166000</v>
      </c>
      <c r="H34" s="102">
        <v>0</v>
      </c>
      <c r="I34" s="102">
        <v>0</v>
      </c>
      <c r="J34" s="102">
        <v>0</v>
      </c>
      <c r="K34" s="48">
        <v>0</v>
      </c>
      <c r="L34" s="48">
        <v>0</v>
      </c>
      <c r="M34" s="48">
        <v>0</v>
      </c>
    </row>
    <row r="35" spans="1:13" s="53" customFormat="1" ht="12.75">
      <c r="A35" s="57"/>
      <c r="B35" s="69">
        <v>75023</v>
      </c>
      <c r="C35" s="17" t="s">
        <v>33</v>
      </c>
      <c r="D35" s="48"/>
      <c r="E35" s="60" t="e">
        <f>#REF!+#REF!+#REF!+#REF!+#REF!+#REF!+#REF!+#REF!+#REF!+#REF!+#REF!+#REF!+#REF!+#REF!+#REF!+#REF!</f>
        <v>#REF!</v>
      </c>
      <c r="F35" s="52">
        <v>3899400</v>
      </c>
      <c r="G35" s="62">
        <f>F35-M35</f>
        <v>3635400</v>
      </c>
      <c r="H35" s="102">
        <f>2070000+162000+6000</f>
        <v>2238000</v>
      </c>
      <c r="I35" s="102">
        <f>340000+55000</f>
        <v>395000</v>
      </c>
      <c r="J35" s="102">
        <v>0</v>
      </c>
      <c r="K35" s="48">
        <v>0</v>
      </c>
      <c r="L35" s="48">
        <v>0</v>
      </c>
      <c r="M35" s="48">
        <f>49000+215000</f>
        <v>264000</v>
      </c>
    </row>
    <row r="36" spans="1:13" s="53" customFormat="1" ht="12.75">
      <c r="A36" s="57"/>
      <c r="B36" s="72">
        <v>75045</v>
      </c>
      <c r="C36" s="73" t="s">
        <v>18</v>
      </c>
      <c r="D36" s="48"/>
      <c r="E36" s="46" t="e">
        <f>#REF!</f>
        <v>#REF!</v>
      </c>
      <c r="F36" s="48">
        <v>600</v>
      </c>
      <c r="G36" s="62">
        <v>600</v>
      </c>
      <c r="H36" s="102">
        <v>0</v>
      </c>
      <c r="I36" s="102">
        <v>0</v>
      </c>
      <c r="J36" s="102">
        <v>0</v>
      </c>
      <c r="K36" s="48">
        <v>0</v>
      </c>
      <c r="L36" s="48">
        <v>0</v>
      </c>
      <c r="M36" s="48">
        <v>0</v>
      </c>
    </row>
    <row r="37" spans="1:13" s="53" customFormat="1" ht="12.75">
      <c r="A37" s="57"/>
      <c r="B37" s="72">
        <v>75075</v>
      </c>
      <c r="C37" s="73" t="s">
        <v>92</v>
      </c>
      <c r="D37" s="48"/>
      <c r="E37" s="60"/>
      <c r="F37" s="52">
        <v>1097000</v>
      </c>
      <c r="G37" s="62">
        <v>1097000</v>
      </c>
      <c r="H37" s="102">
        <v>0</v>
      </c>
      <c r="I37" s="102">
        <v>0</v>
      </c>
      <c r="J37" s="102">
        <v>0</v>
      </c>
      <c r="K37" s="48">
        <v>0</v>
      </c>
      <c r="L37" s="48">
        <v>0</v>
      </c>
      <c r="M37" s="48">
        <v>0</v>
      </c>
    </row>
    <row r="38" spans="1:13" s="53" customFormat="1" ht="12.75">
      <c r="A38" s="57"/>
      <c r="B38" s="72">
        <v>75095</v>
      </c>
      <c r="C38" s="73" t="s">
        <v>10</v>
      </c>
      <c r="D38" s="48"/>
      <c r="E38" s="46" t="e">
        <f>#REF!+#REF!+#REF!+#REF!+#REF!</f>
        <v>#REF!</v>
      </c>
      <c r="F38" s="48">
        <v>494250</v>
      </c>
      <c r="G38" s="62">
        <v>494250</v>
      </c>
      <c r="H38" s="48">
        <f>26000+105450</f>
        <v>131450</v>
      </c>
      <c r="I38" s="95">
        <f>10000+4500</f>
        <v>14500</v>
      </c>
      <c r="J38" s="102">
        <v>0</v>
      </c>
      <c r="K38" s="48">
        <v>0</v>
      </c>
      <c r="L38" s="48">
        <v>0</v>
      </c>
      <c r="M38" s="48">
        <v>0</v>
      </c>
    </row>
    <row r="39" spans="1:13" s="28" customFormat="1" ht="12.75">
      <c r="A39" s="57">
        <v>751</v>
      </c>
      <c r="B39" s="30"/>
      <c r="C39" s="31" t="s">
        <v>57</v>
      </c>
      <c r="D39" s="25"/>
      <c r="E39" s="29"/>
      <c r="F39" s="49"/>
      <c r="G39" s="34"/>
      <c r="H39" s="25"/>
      <c r="I39" s="104"/>
      <c r="J39" s="103"/>
      <c r="K39" s="25"/>
      <c r="L39" s="25"/>
      <c r="M39" s="25"/>
    </row>
    <row r="40" spans="1:13" s="28" customFormat="1" ht="12.75">
      <c r="A40" s="57"/>
      <c r="B40" s="31"/>
      <c r="C40" s="33" t="s">
        <v>58</v>
      </c>
      <c r="D40" s="25"/>
      <c r="E40" s="29"/>
      <c r="F40" s="49"/>
      <c r="G40" s="34"/>
      <c r="H40" s="25"/>
      <c r="I40" s="104"/>
      <c r="J40" s="103"/>
      <c r="K40" s="25"/>
      <c r="L40" s="25"/>
      <c r="M40" s="25"/>
    </row>
    <row r="41" spans="1:13" s="28" customFormat="1" ht="12.75">
      <c r="A41" s="57"/>
      <c r="B41" s="31"/>
      <c r="C41" s="33" t="s">
        <v>59</v>
      </c>
      <c r="D41" s="25"/>
      <c r="E41" s="26" t="e">
        <f>E43+#REF!+#REF!</f>
        <v>#REF!</v>
      </c>
      <c r="F41" s="25">
        <f>F43</f>
        <v>1140</v>
      </c>
      <c r="G41" s="25">
        <f aca="true" t="shared" si="7" ref="G41:M41">G43</f>
        <v>1140</v>
      </c>
      <c r="H41" s="25">
        <f t="shared" si="7"/>
        <v>970</v>
      </c>
      <c r="I41" s="25">
        <f t="shared" si="7"/>
        <v>170</v>
      </c>
      <c r="J41" s="25">
        <f t="shared" si="7"/>
        <v>0</v>
      </c>
      <c r="K41" s="25">
        <f t="shared" si="7"/>
        <v>0</v>
      </c>
      <c r="L41" s="25">
        <f t="shared" si="7"/>
        <v>0</v>
      </c>
      <c r="M41" s="25">
        <f t="shared" si="7"/>
        <v>0</v>
      </c>
    </row>
    <row r="42" spans="1:13" s="53" customFormat="1" ht="12.75">
      <c r="A42" s="57"/>
      <c r="B42" s="70">
        <v>75101</v>
      </c>
      <c r="C42" s="17" t="s">
        <v>60</v>
      </c>
      <c r="D42" s="48"/>
      <c r="E42" s="46"/>
      <c r="F42" s="52"/>
      <c r="G42" s="62"/>
      <c r="H42" s="48"/>
      <c r="I42" s="95"/>
      <c r="J42" s="48"/>
      <c r="K42" s="52"/>
      <c r="L42" s="48"/>
      <c r="M42" s="48"/>
    </row>
    <row r="43" spans="1:13" s="53" customFormat="1" ht="12.75">
      <c r="A43" s="57"/>
      <c r="B43" s="74"/>
      <c r="C43" s="17" t="s">
        <v>61</v>
      </c>
      <c r="D43" s="48"/>
      <c r="E43" s="46" t="e">
        <f>SUM(#REF!)</f>
        <v>#REF!</v>
      </c>
      <c r="F43" s="48">
        <v>1140</v>
      </c>
      <c r="G43" s="62">
        <v>1140</v>
      </c>
      <c r="H43" s="48">
        <v>970</v>
      </c>
      <c r="I43" s="95">
        <f>146+24</f>
        <v>170</v>
      </c>
      <c r="J43" s="48">
        <v>0</v>
      </c>
      <c r="K43" s="52">
        <v>0</v>
      </c>
      <c r="L43" s="48">
        <v>0</v>
      </c>
      <c r="M43" s="48">
        <v>0</v>
      </c>
    </row>
    <row r="44" spans="1:13" s="53" customFormat="1" ht="12.75">
      <c r="A44" s="125"/>
      <c r="B44" s="129"/>
      <c r="C44" s="126"/>
      <c r="D44" s="109"/>
      <c r="E44" s="127"/>
      <c r="F44" s="128"/>
      <c r="G44" s="97"/>
      <c r="H44" s="109"/>
      <c r="I44" s="97"/>
      <c r="J44" s="109"/>
      <c r="K44" s="128"/>
      <c r="L44" s="109"/>
      <c r="M44" s="109"/>
    </row>
    <row r="45" spans="1:13" s="53" customFormat="1" ht="15" customHeight="1">
      <c r="A45" s="96"/>
      <c r="B45" s="124"/>
      <c r="C45" s="101"/>
      <c r="D45" s="97"/>
      <c r="E45" s="98"/>
      <c r="F45" s="97"/>
      <c r="G45" s="97"/>
      <c r="H45" s="97"/>
      <c r="I45" s="97"/>
      <c r="J45" s="97"/>
      <c r="K45" s="97"/>
      <c r="L45" s="97"/>
      <c r="M45" s="97"/>
    </row>
    <row r="46" spans="1:13" ht="14.25" customHeight="1">
      <c r="A46" s="65"/>
      <c r="B46" s="3"/>
      <c r="C46" s="38"/>
      <c r="D46" s="12" t="s">
        <v>0</v>
      </c>
      <c r="E46" s="94" t="s">
        <v>65</v>
      </c>
      <c r="F46" s="82"/>
      <c r="G46" s="2" t="s">
        <v>5</v>
      </c>
      <c r="H46" s="2"/>
      <c r="I46" s="2"/>
      <c r="J46" s="2"/>
      <c r="K46" s="2"/>
      <c r="L46" s="2"/>
      <c r="M46" s="2"/>
    </row>
    <row r="47" spans="1:13" ht="14.25" customHeight="1">
      <c r="A47" s="65"/>
      <c r="B47" s="3"/>
      <c r="C47" s="38"/>
      <c r="D47" s="12"/>
      <c r="E47" s="36"/>
      <c r="F47" s="82" t="s">
        <v>93</v>
      </c>
      <c r="G47" s="16"/>
      <c r="H47" s="87" t="s">
        <v>8</v>
      </c>
      <c r="I47" s="83"/>
      <c r="J47" s="83"/>
      <c r="K47" s="83"/>
      <c r="L47" s="83"/>
      <c r="M47" s="86"/>
    </row>
    <row r="48" spans="1:13" ht="14.25" customHeight="1">
      <c r="A48" s="65"/>
      <c r="B48" s="3"/>
      <c r="C48" s="38"/>
      <c r="D48" s="12"/>
      <c r="E48" s="36"/>
      <c r="F48" s="61" t="s">
        <v>94</v>
      </c>
      <c r="G48" s="3" t="s">
        <v>98</v>
      </c>
      <c r="H48" s="85"/>
      <c r="I48" s="84"/>
      <c r="J48" s="84"/>
      <c r="K48" s="86"/>
      <c r="L48" s="86" t="s">
        <v>98</v>
      </c>
      <c r="M48" s="3" t="s">
        <v>106</v>
      </c>
    </row>
    <row r="49" spans="1:13" ht="12.75">
      <c r="A49" s="65" t="s">
        <v>89</v>
      </c>
      <c r="B49" s="17" t="s">
        <v>90</v>
      </c>
      <c r="C49" s="80" t="s">
        <v>97</v>
      </c>
      <c r="D49" s="12" t="s">
        <v>1</v>
      </c>
      <c r="E49" s="36" t="s">
        <v>66</v>
      </c>
      <c r="G49" s="3" t="s">
        <v>6</v>
      </c>
      <c r="H49" s="91" t="s">
        <v>108</v>
      </c>
      <c r="I49" s="85" t="s">
        <v>99</v>
      </c>
      <c r="J49" s="85" t="s">
        <v>101</v>
      </c>
      <c r="K49" s="3" t="s">
        <v>102</v>
      </c>
      <c r="L49" s="3" t="s">
        <v>104</v>
      </c>
      <c r="M49" s="3" t="s">
        <v>107</v>
      </c>
    </row>
    <row r="50" spans="1:13" ht="12.75">
      <c r="A50" s="66"/>
      <c r="B50" s="4"/>
      <c r="C50" s="39"/>
      <c r="D50" s="13" t="s">
        <v>2</v>
      </c>
      <c r="E50" s="54" t="s">
        <v>67</v>
      </c>
      <c r="F50" s="47"/>
      <c r="H50" s="88"/>
      <c r="I50" s="88" t="s">
        <v>100</v>
      </c>
      <c r="J50" s="88"/>
      <c r="K50" s="4" t="s">
        <v>103</v>
      </c>
      <c r="L50" s="88" t="s">
        <v>105</v>
      </c>
      <c r="M50" s="4"/>
    </row>
    <row r="51" spans="1:13" ht="12.75">
      <c r="A51" s="67">
        <v>1</v>
      </c>
      <c r="B51" s="21">
        <v>2</v>
      </c>
      <c r="C51" s="40">
        <v>3</v>
      </c>
      <c r="D51" s="21"/>
      <c r="E51" s="21">
        <v>4</v>
      </c>
      <c r="F51" s="51">
        <v>4</v>
      </c>
      <c r="G51" s="89">
        <v>5</v>
      </c>
      <c r="H51" s="89">
        <v>6</v>
      </c>
      <c r="I51" s="89">
        <v>7</v>
      </c>
      <c r="J51" s="89">
        <v>8</v>
      </c>
      <c r="K51" s="90">
        <v>9</v>
      </c>
      <c r="L51" s="90">
        <v>10</v>
      </c>
      <c r="M51" s="92">
        <v>11</v>
      </c>
    </row>
    <row r="52" spans="1:13" ht="12.75">
      <c r="A52" s="69"/>
      <c r="B52" s="117"/>
      <c r="C52" s="118"/>
      <c r="D52" s="117"/>
      <c r="E52" s="117"/>
      <c r="F52" s="119"/>
      <c r="G52" s="120"/>
      <c r="H52" s="121"/>
      <c r="I52" s="120"/>
      <c r="J52" s="121"/>
      <c r="K52" s="122"/>
      <c r="L52" s="123"/>
      <c r="M52" s="117"/>
    </row>
    <row r="53" spans="1:13" s="28" customFormat="1" ht="12.75">
      <c r="A53" s="57">
        <v>754</v>
      </c>
      <c r="B53" s="30"/>
      <c r="C53" s="33" t="s">
        <v>34</v>
      </c>
      <c r="D53" s="25"/>
      <c r="E53" s="29"/>
      <c r="F53" s="49"/>
      <c r="G53" s="34"/>
      <c r="H53" s="25"/>
      <c r="I53" s="104"/>
      <c r="J53" s="25"/>
      <c r="K53" s="49"/>
      <c r="L53" s="25"/>
      <c r="M53" s="25"/>
    </row>
    <row r="54" spans="1:13" s="28" customFormat="1" ht="12.75">
      <c r="A54" s="57"/>
      <c r="B54" s="31"/>
      <c r="C54" s="33" t="s">
        <v>35</v>
      </c>
      <c r="D54" s="25"/>
      <c r="E54" s="26" t="e">
        <f>E55+#REF!+E56+E68+E69</f>
        <v>#REF!</v>
      </c>
      <c r="F54" s="25">
        <f>F55+F56+F57+F58+F59</f>
        <v>1543508</v>
      </c>
      <c r="G54" s="25">
        <f aca="true" t="shared" si="8" ref="G54:M54">G55+G56+G57+G58+G59</f>
        <v>838508</v>
      </c>
      <c r="H54" s="25">
        <f t="shared" si="8"/>
        <v>406600</v>
      </c>
      <c r="I54" s="25">
        <f t="shared" si="8"/>
        <v>68800</v>
      </c>
      <c r="J54" s="25">
        <f t="shared" si="8"/>
        <v>0</v>
      </c>
      <c r="K54" s="25">
        <f t="shared" si="8"/>
        <v>0</v>
      </c>
      <c r="L54" s="25">
        <f t="shared" si="8"/>
        <v>0</v>
      </c>
      <c r="M54" s="25">
        <f t="shared" si="8"/>
        <v>705000</v>
      </c>
    </row>
    <row r="55" spans="1:13" s="53" customFormat="1" ht="12.75">
      <c r="A55" s="57"/>
      <c r="B55" s="75">
        <v>75405</v>
      </c>
      <c r="C55" s="73" t="s">
        <v>20</v>
      </c>
      <c r="D55" s="48"/>
      <c r="E55" s="60" t="e">
        <f>#REF!</f>
        <v>#REF!</v>
      </c>
      <c r="F55" s="52">
        <v>171000</v>
      </c>
      <c r="G55" s="62">
        <v>171000</v>
      </c>
      <c r="H55" s="48">
        <v>0</v>
      </c>
      <c r="I55" s="95">
        <v>0</v>
      </c>
      <c r="J55" s="48">
        <v>0</v>
      </c>
      <c r="K55" s="95">
        <v>0</v>
      </c>
      <c r="L55" s="102">
        <v>0</v>
      </c>
      <c r="M55" s="48">
        <v>0</v>
      </c>
    </row>
    <row r="56" spans="1:13" s="53" customFormat="1" ht="12.75">
      <c r="A56" s="57"/>
      <c r="B56" s="72">
        <v>75412</v>
      </c>
      <c r="C56" s="73" t="s">
        <v>11</v>
      </c>
      <c r="D56" s="48"/>
      <c r="E56" s="46" t="e">
        <f>SUM(#REF!)</f>
        <v>#REF!</v>
      </c>
      <c r="F56" s="48">
        <v>362408</v>
      </c>
      <c r="G56" s="62">
        <f>F56-M56</f>
        <v>157408</v>
      </c>
      <c r="H56" s="48">
        <f>39000+1600</f>
        <v>40600</v>
      </c>
      <c r="I56" s="95">
        <f>6200+1100</f>
        <v>7300</v>
      </c>
      <c r="J56" s="48">
        <v>0</v>
      </c>
      <c r="K56" s="95">
        <v>0</v>
      </c>
      <c r="L56" s="102">
        <v>0</v>
      </c>
      <c r="M56" s="48">
        <f>30000+175000</f>
        <v>205000</v>
      </c>
    </row>
    <row r="57" spans="1:13" s="53" customFormat="1" ht="12.75">
      <c r="A57" s="57"/>
      <c r="B57" s="72">
        <v>75414</v>
      </c>
      <c r="C57" s="73" t="s">
        <v>36</v>
      </c>
      <c r="D57" s="48"/>
      <c r="E57" s="46" t="e">
        <f>SUM(#REF!)</f>
        <v>#REF!</v>
      </c>
      <c r="F57" s="48">
        <v>9850</v>
      </c>
      <c r="G57" s="62">
        <v>9850</v>
      </c>
      <c r="H57" s="48">
        <v>0</v>
      </c>
      <c r="I57" s="62">
        <v>0</v>
      </c>
      <c r="J57" s="48">
        <v>0</v>
      </c>
      <c r="K57" s="107">
        <v>0</v>
      </c>
      <c r="L57" s="48">
        <v>0</v>
      </c>
      <c r="M57" s="52">
        <v>0</v>
      </c>
    </row>
    <row r="58" spans="1:13" s="53" customFormat="1" ht="12.75">
      <c r="A58" s="57"/>
      <c r="B58" s="72">
        <v>75416</v>
      </c>
      <c r="C58" s="73" t="s">
        <v>19</v>
      </c>
      <c r="D58" s="48"/>
      <c r="E58" s="46" t="e">
        <f>SUM(#REF!+#REF!+#REF!+#REF!+#REF!+#REF!+#REF!+#REF!+#REF!+#REF!+#REF!)</f>
        <v>#REF!</v>
      </c>
      <c r="F58" s="48">
        <v>597250</v>
      </c>
      <c r="G58" s="62">
        <f>F58-M58</f>
        <v>497250</v>
      </c>
      <c r="H58" s="48">
        <f>341000+25000</f>
        <v>366000</v>
      </c>
      <c r="I58" s="62">
        <f>53000+8500</f>
        <v>61500</v>
      </c>
      <c r="J58" s="48">
        <v>0</v>
      </c>
      <c r="K58" s="62">
        <v>0</v>
      </c>
      <c r="L58" s="48">
        <v>0</v>
      </c>
      <c r="M58" s="52">
        <v>100000</v>
      </c>
    </row>
    <row r="59" spans="1:13" s="53" customFormat="1" ht="12.75">
      <c r="A59" s="57"/>
      <c r="B59" s="71">
        <v>75495</v>
      </c>
      <c r="C59" s="73" t="s">
        <v>10</v>
      </c>
      <c r="D59" s="48"/>
      <c r="E59" s="60"/>
      <c r="F59" s="52">
        <v>403000</v>
      </c>
      <c r="G59" s="62">
        <f>F59-M59</f>
        <v>3000</v>
      </c>
      <c r="H59" s="48">
        <v>0</v>
      </c>
      <c r="I59" s="62">
        <v>0</v>
      </c>
      <c r="J59" s="48">
        <v>0</v>
      </c>
      <c r="K59" s="62">
        <v>0</v>
      </c>
      <c r="L59" s="48">
        <v>0</v>
      </c>
      <c r="M59" s="52">
        <v>400000</v>
      </c>
    </row>
    <row r="60" spans="1:13" s="28" customFormat="1" ht="12.75">
      <c r="A60" s="57">
        <v>757</v>
      </c>
      <c r="B60" s="30"/>
      <c r="C60" s="33" t="s">
        <v>37</v>
      </c>
      <c r="D60" s="25"/>
      <c r="E60" s="26" t="e">
        <f>E62</f>
        <v>#REF!</v>
      </c>
      <c r="F60" s="25">
        <f>F62</f>
        <v>600000</v>
      </c>
      <c r="G60" s="25">
        <f aca="true" t="shared" si="9" ref="G60:M60">G62</f>
        <v>600000</v>
      </c>
      <c r="H60" s="25">
        <f t="shared" si="9"/>
        <v>0</v>
      </c>
      <c r="I60" s="25">
        <f t="shared" si="9"/>
        <v>0</v>
      </c>
      <c r="J60" s="25">
        <f t="shared" si="9"/>
        <v>0</v>
      </c>
      <c r="K60" s="25">
        <f t="shared" si="9"/>
        <v>598000</v>
      </c>
      <c r="L60" s="25">
        <f t="shared" si="9"/>
        <v>0</v>
      </c>
      <c r="M60" s="25">
        <f t="shared" si="9"/>
        <v>0</v>
      </c>
    </row>
    <row r="61" spans="1:13" s="53" customFormat="1" ht="12.75">
      <c r="A61" s="57"/>
      <c r="B61" s="75">
        <v>75702</v>
      </c>
      <c r="C61" s="73" t="s">
        <v>38</v>
      </c>
      <c r="D61" s="48"/>
      <c r="E61" s="60"/>
      <c r="F61" s="52"/>
      <c r="G61" s="62"/>
      <c r="H61" s="48"/>
      <c r="I61" s="62"/>
      <c r="J61" s="48"/>
      <c r="K61" s="62"/>
      <c r="L61" s="48"/>
      <c r="M61" s="52"/>
    </row>
    <row r="62" spans="1:13" s="53" customFormat="1" ht="12.75">
      <c r="A62" s="57"/>
      <c r="B62" s="76"/>
      <c r="C62" s="73" t="s">
        <v>39</v>
      </c>
      <c r="D62" s="48"/>
      <c r="E62" s="46" t="e">
        <f>#REF!+#REF!</f>
        <v>#REF!</v>
      </c>
      <c r="F62" s="48">
        <v>600000</v>
      </c>
      <c r="G62" s="62">
        <v>600000</v>
      </c>
      <c r="H62" s="48">
        <v>0</v>
      </c>
      <c r="I62" s="62">
        <v>0</v>
      </c>
      <c r="J62" s="48">
        <v>0</v>
      </c>
      <c r="K62" s="62">
        <v>598000</v>
      </c>
      <c r="L62" s="48">
        <v>0</v>
      </c>
      <c r="M62" s="52">
        <v>0</v>
      </c>
    </row>
    <row r="63" spans="1:13" s="28" customFormat="1" ht="12.75">
      <c r="A63" s="57">
        <v>758</v>
      </c>
      <c r="B63" s="30"/>
      <c r="C63" s="33" t="s">
        <v>21</v>
      </c>
      <c r="D63" s="25"/>
      <c r="E63" s="26" t="e">
        <f>E64+E65</f>
        <v>#REF!</v>
      </c>
      <c r="F63" s="25">
        <f>F64+F65</f>
        <v>272776</v>
      </c>
      <c r="G63" s="25">
        <f aca="true" t="shared" si="10" ref="G63:M63">G64+G65</f>
        <v>272776</v>
      </c>
      <c r="H63" s="25">
        <f t="shared" si="10"/>
        <v>0</v>
      </c>
      <c r="I63" s="25">
        <f t="shared" si="10"/>
        <v>0</v>
      </c>
      <c r="J63" s="25">
        <f t="shared" si="10"/>
        <v>0</v>
      </c>
      <c r="K63" s="25">
        <f t="shared" si="10"/>
        <v>0</v>
      </c>
      <c r="L63" s="25">
        <f t="shared" si="10"/>
        <v>0</v>
      </c>
      <c r="M63" s="25">
        <f t="shared" si="10"/>
        <v>0</v>
      </c>
    </row>
    <row r="64" spans="1:13" s="53" customFormat="1" ht="12.75">
      <c r="A64" s="57"/>
      <c r="B64" s="75">
        <v>75814</v>
      </c>
      <c r="C64" s="73" t="s">
        <v>64</v>
      </c>
      <c r="D64" s="48"/>
      <c r="E64" s="46" t="e">
        <f>#REF!</f>
        <v>#REF!</v>
      </c>
      <c r="F64" s="48">
        <v>52776</v>
      </c>
      <c r="G64" s="62">
        <v>52776</v>
      </c>
      <c r="H64" s="48">
        <v>0</v>
      </c>
      <c r="I64" s="62">
        <v>0</v>
      </c>
      <c r="J64" s="48">
        <v>0</v>
      </c>
      <c r="K64" s="62">
        <v>0</v>
      </c>
      <c r="L64" s="48">
        <v>0</v>
      </c>
      <c r="M64" s="52">
        <v>0</v>
      </c>
    </row>
    <row r="65" spans="1:13" s="53" customFormat="1" ht="12.75">
      <c r="A65" s="57"/>
      <c r="B65" s="72">
        <v>75818</v>
      </c>
      <c r="C65" s="73" t="s">
        <v>22</v>
      </c>
      <c r="D65" s="48"/>
      <c r="E65" s="46" t="e">
        <f>#REF!</f>
        <v>#REF!</v>
      </c>
      <c r="F65" s="48">
        <v>220000</v>
      </c>
      <c r="G65" s="62">
        <v>220000</v>
      </c>
      <c r="H65" s="48">
        <v>0</v>
      </c>
      <c r="I65" s="62">
        <v>0</v>
      </c>
      <c r="J65" s="48">
        <v>0</v>
      </c>
      <c r="K65" s="62">
        <v>0</v>
      </c>
      <c r="L65" s="48">
        <v>0</v>
      </c>
      <c r="M65" s="52">
        <v>0</v>
      </c>
    </row>
    <row r="66" spans="1:13" ht="15">
      <c r="A66" s="57">
        <v>801</v>
      </c>
      <c r="B66" s="7"/>
      <c r="C66" s="32" t="s">
        <v>3</v>
      </c>
      <c r="D66" s="10"/>
      <c r="E66" s="20" t="e">
        <f>E67+E70+E71+E72+E75</f>
        <v>#REF!</v>
      </c>
      <c r="F66" s="55">
        <f>F67+F69+F70+F71+F72+F73+F75+F74</f>
        <v>11294358</v>
      </c>
      <c r="G66" s="55">
        <f aca="true" t="shared" si="11" ref="G66:M66">G67+G69+G70+G71+G72+G73+G75+G74</f>
        <v>8354870</v>
      </c>
      <c r="H66" s="55">
        <f t="shared" si="11"/>
        <v>5171450</v>
      </c>
      <c r="I66" s="55">
        <f t="shared" si="11"/>
        <v>923880</v>
      </c>
      <c r="J66" s="55">
        <f t="shared" si="11"/>
        <v>25000</v>
      </c>
      <c r="K66" s="55">
        <f t="shared" si="11"/>
        <v>0</v>
      </c>
      <c r="L66" s="55">
        <f t="shared" si="11"/>
        <v>0</v>
      </c>
      <c r="M66" s="55">
        <f t="shared" si="11"/>
        <v>2939488</v>
      </c>
    </row>
    <row r="67" spans="1:13" s="53" customFormat="1" ht="12.75">
      <c r="A67" s="57"/>
      <c r="B67" s="68">
        <v>80101</v>
      </c>
      <c r="C67" s="17" t="s">
        <v>71</v>
      </c>
      <c r="D67" s="48"/>
      <c r="E67" s="46" t="e">
        <f>#REF!+#REF!+#REF!+#REF!+#REF!+#REF!+#REF!+#REF!+#REF!+#REF!+#REF!+#REF!+#REF!+#REF!+#REF!+#REF!+#REF!+#REF!</f>
        <v>#REF!</v>
      </c>
      <c r="F67" s="48">
        <v>4149435</v>
      </c>
      <c r="G67" s="62">
        <f>F67-M67</f>
        <v>3502435</v>
      </c>
      <c r="H67" s="48">
        <f>2206200+160500+38500</f>
        <v>2405200</v>
      </c>
      <c r="I67" s="62">
        <f>359610+57800</f>
        <v>417410</v>
      </c>
      <c r="J67" s="48">
        <v>0</v>
      </c>
      <c r="K67" s="62">
        <v>0</v>
      </c>
      <c r="L67" s="48">
        <v>0</v>
      </c>
      <c r="M67" s="52">
        <v>647000</v>
      </c>
    </row>
    <row r="68" spans="1:13" s="53" customFormat="1" ht="12.75">
      <c r="A68" s="57"/>
      <c r="B68" s="69">
        <v>80103</v>
      </c>
      <c r="C68" s="17" t="s">
        <v>85</v>
      </c>
      <c r="D68" s="48"/>
      <c r="E68" s="60"/>
      <c r="F68" s="52"/>
      <c r="G68" s="62"/>
      <c r="H68" s="48"/>
      <c r="I68" s="62"/>
      <c r="J68" s="48"/>
      <c r="K68" s="62"/>
      <c r="L68" s="48"/>
      <c r="M68" s="52"/>
    </row>
    <row r="69" spans="1:13" s="53" customFormat="1" ht="12.75">
      <c r="A69" s="57"/>
      <c r="B69" s="65"/>
      <c r="C69" s="17" t="s">
        <v>84</v>
      </c>
      <c r="D69" s="48"/>
      <c r="E69" s="60"/>
      <c r="F69" s="52">
        <v>53897</v>
      </c>
      <c r="G69" s="62">
        <v>53897</v>
      </c>
      <c r="H69" s="48">
        <f>40650+2400</f>
        <v>43050</v>
      </c>
      <c r="I69" s="62">
        <f>5100+810</f>
        <v>5910</v>
      </c>
      <c r="J69" s="48">
        <v>0</v>
      </c>
      <c r="K69" s="62">
        <v>0</v>
      </c>
      <c r="L69" s="48">
        <v>0</v>
      </c>
      <c r="M69" s="52">
        <v>0</v>
      </c>
    </row>
    <row r="70" spans="1:13" s="53" customFormat="1" ht="12.75">
      <c r="A70" s="57"/>
      <c r="B70" s="69">
        <v>80104</v>
      </c>
      <c r="C70" s="17" t="s">
        <v>79</v>
      </c>
      <c r="D70" s="48"/>
      <c r="E70" s="46" t="e">
        <f>SUM(#REF!)</f>
        <v>#REF!</v>
      </c>
      <c r="F70" s="48">
        <v>1892510</v>
      </c>
      <c r="G70" s="62">
        <f>F70-M70</f>
        <v>1722510</v>
      </c>
      <c r="H70" s="48">
        <f>989300+71600</f>
        <v>1060900</v>
      </c>
      <c r="I70" s="62">
        <f>163800+26000</f>
        <v>189800</v>
      </c>
      <c r="J70" s="48">
        <v>0</v>
      </c>
      <c r="K70" s="62">
        <v>0</v>
      </c>
      <c r="L70" s="48">
        <v>0</v>
      </c>
      <c r="M70" s="52">
        <v>170000</v>
      </c>
    </row>
    <row r="71" spans="1:13" s="53" customFormat="1" ht="12.75">
      <c r="A71" s="57"/>
      <c r="B71" s="69">
        <v>80110</v>
      </c>
      <c r="C71" s="17" t="s">
        <v>72</v>
      </c>
      <c r="D71" s="48"/>
      <c r="E71" s="46" t="e">
        <f>SUM(#REF!)</f>
        <v>#REF!</v>
      </c>
      <c r="F71" s="48">
        <v>2740600</v>
      </c>
      <c r="G71" s="62">
        <f>F71-M71</f>
        <v>2354600</v>
      </c>
      <c r="H71" s="48">
        <f>1338000+102600+1500</f>
        <v>1442100</v>
      </c>
      <c r="I71" s="62">
        <f>240500+34200</f>
        <v>274700</v>
      </c>
      <c r="J71" s="48">
        <v>0</v>
      </c>
      <c r="K71" s="62">
        <v>0</v>
      </c>
      <c r="L71" s="48">
        <v>0</v>
      </c>
      <c r="M71" s="52">
        <f>364000+22000</f>
        <v>386000</v>
      </c>
    </row>
    <row r="72" spans="1:13" s="53" customFormat="1" ht="12.75">
      <c r="A72" s="57"/>
      <c r="B72" s="69">
        <v>80113</v>
      </c>
      <c r="C72" s="17" t="s">
        <v>13</v>
      </c>
      <c r="D72" s="48"/>
      <c r="E72" s="46" t="e">
        <f>#REF!</f>
        <v>#REF!</v>
      </c>
      <c r="F72" s="48">
        <v>96730</v>
      </c>
      <c r="G72" s="62">
        <v>96730</v>
      </c>
      <c r="H72" s="48">
        <v>0</v>
      </c>
      <c r="I72" s="62">
        <v>0</v>
      </c>
      <c r="J72" s="48">
        <v>25000</v>
      </c>
      <c r="K72" s="62">
        <v>0</v>
      </c>
      <c r="L72" s="48">
        <v>0</v>
      </c>
      <c r="M72" s="52">
        <v>0</v>
      </c>
    </row>
    <row r="73" spans="1:13" s="53" customFormat="1" ht="12.75">
      <c r="A73" s="57"/>
      <c r="B73" s="69">
        <v>80146</v>
      </c>
      <c r="C73" s="17" t="s">
        <v>74</v>
      </c>
      <c r="D73" s="48"/>
      <c r="E73" s="60"/>
      <c r="F73" s="52">
        <v>33600</v>
      </c>
      <c r="G73" s="62">
        <v>33600</v>
      </c>
      <c r="H73" s="48">
        <v>0</v>
      </c>
      <c r="I73" s="62">
        <v>0</v>
      </c>
      <c r="J73" s="48">
        <v>0</v>
      </c>
      <c r="K73" s="62">
        <v>0</v>
      </c>
      <c r="L73" s="48">
        <v>0</v>
      </c>
      <c r="M73" s="52">
        <v>0</v>
      </c>
    </row>
    <row r="74" spans="1:13" s="53" customFormat="1" ht="12.75">
      <c r="A74" s="57"/>
      <c r="B74" s="65">
        <v>80148</v>
      </c>
      <c r="C74" s="17" t="s">
        <v>91</v>
      </c>
      <c r="D74" s="48"/>
      <c r="E74" s="60"/>
      <c r="F74" s="52">
        <v>467298</v>
      </c>
      <c r="G74" s="62">
        <v>467298</v>
      </c>
      <c r="H74" s="48">
        <f>182450+13950</f>
        <v>196400</v>
      </c>
      <c r="I74" s="62">
        <f>31240+4820</f>
        <v>36060</v>
      </c>
      <c r="J74" s="48">
        <v>0</v>
      </c>
      <c r="K74" s="62">
        <v>0</v>
      </c>
      <c r="L74" s="48">
        <v>0</v>
      </c>
      <c r="M74" s="52">
        <v>0</v>
      </c>
    </row>
    <row r="75" spans="1:13" s="53" customFormat="1" ht="12.75">
      <c r="A75" s="57"/>
      <c r="B75" s="69">
        <v>80195</v>
      </c>
      <c r="C75" s="17" t="s">
        <v>10</v>
      </c>
      <c r="D75" s="48"/>
      <c r="E75" s="46" t="e">
        <f>#REF!++#REF!+#REF!+#REF!</f>
        <v>#REF!</v>
      </c>
      <c r="F75" s="48">
        <v>1860288</v>
      </c>
      <c r="G75" s="62">
        <f>F75-M75</f>
        <v>123800</v>
      </c>
      <c r="H75" s="48">
        <f>21400+2400</f>
        <v>23800</v>
      </c>
      <c r="I75" s="62">
        <v>0</v>
      </c>
      <c r="J75" s="48">
        <v>0</v>
      </c>
      <c r="K75" s="62">
        <v>0</v>
      </c>
      <c r="L75" s="48">
        <v>0</v>
      </c>
      <c r="M75" s="52">
        <v>1736488</v>
      </c>
    </row>
    <row r="76" spans="1:13" s="28" customFormat="1" ht="12.75">
      <c r="A76" s="57">
        <v>851</v>
      </c>
      <c r="B76" s="23"/>
      <c r="C76" s="32" t="s">
        <v>4</v>
      </c>
      <c r="D76" s="25"/>
      <c r="E76" s="26" t="e">
        <f>#REF!+E78</f>
        <v>#REF!</v>
      </c>
      <c r="F76" s="25">
        <f>F77+F78+F79</f>
        <v>674600</v>
      </c>
      <c r="G76" s="25">
        <f aca="true" t="shared" si="12" ref="G76:M76">G77+G78+G79</f>
        <v>545600</v>
      </c>
      <c r="H76" s="25">
        <f t="shared" si="12"/>
        <v>60000</v>
      </c>
      <c r="I76" s="25">
        <f t="shared" si="12"/>
        <v>0</v>
      </c>
      <c r="J76" s="25">
        <f t="shared" si="12"/>
        <v>80000</v>
      </c>
      <c r="K76" s="25">
        <f t="shared" si="12"/>
        <v>0</v>
      </c>
      <c r="L76" s="25">
        <f t="shared" si="12"/>
        <v>0</v>
      </c>
      <c r="M76" s="25">
        <f t="shared" si="12"/>
        <v>129000</v>
      </c>
    </row>
    <row r="77" spans="1:13" s="53" customFormat="1" ht="12.75">
      <c r="A77" s="57"/>
      <c r="B77" s="68">
        <v>85153</v>
      </c>
      <c r="C77" s="17" t="s">
        <v>86</v>
      </c>
      <c r="D77" s="48"/>
      <c r="E77" s="46"/>
      <c r="F77" s="48">
        <v>30000</v>
      </c>
      <c r="G77" s="62">
        <v>30000</v>
      </c>
      <c r="H77" s="48">
        <v>0</v>
      </c>
      <c r="I77" s="62">
        <v>0</v>
      </c>
      <c r="J77" s="48">
        <v>0</v>
      </c>
      <c r="K77" s="62">
        <v>0</v>
      </c>
      <c r="L77" s="48">
        <v>0</v>
      </c>
      <c r="M77" s="52">
        <v>0</v>
      </c>
    </row>
    <row r="78" spans="1:13" s="53" customFormat="1" ht="15" customHeight="1">
      <c r="A78" s="57"/>
      <c r="B78" s="69">
        <v>85154</v>
      </c>
      <c r="C78" s="17" t="s">
        <v>15</v>
      </c>
      <c r="D78" s="48"/>
      <c r="E78" s="46" t="e">
        <f>#REF!+#REF!+#REF!+#REF!+#REF!+#REF!+#REF!+#REF!+#REF!+#REF!</f>
        <v>#REF!</v>
      </c>
      <c r="F78" s="48">
        <v>519000</v>
      </c>
      <c r="G78" s="62">
        <f>F78-M78</f>
        <v>390000</v>
      </c>
      <c r="H78" s="48">
        <v>60000</v>
      </c>
      <c r="I78" s="62">
        <v>0</v>
      </c>
      <c r="J78" s="48">
        <v>80000</v>
      </c>
      <c r="K78" s="62">
        <v>0</v>
      </c>
      <c r="L78" s="48">
        <v>0</v>
      </c>
      <c r="M78" s="52">
        <v>129000</v>
      </c>
    </row>
    <row r="79" spans="1:13" s="53" customFormat="1" ht="12.75">
      <c r="A79" s="78"/>
      <c r="B79" s="79">
        <v>85195</v>
      </c>
      <c r="C79" s="73" t="s">
        <v>10</v>
      </c>
      <c r="D79" s="48"/>
      <c r="E79" s="60"/>
      <c r="F79" s="52">
        <v>125600</v>
      </c>
      <c r="G79" s="62">
        <v>125600</v>
      </c>
      <c r="H79" s="48">
        <v>0</v>
      </c>
      <c r="I79" s="62">
        <v>0</v>
      </c>
      <c r="J79" s="48">
        <v>0</v>
      </c>
      <c r="K79" s="62">
        <v>0</v>
      </c>
      <c r="L79" s="48">
        <v>0</v>
      </c>
      <c r="M79" s="52">
        <v>0</v>
      </c>
    </row>
    <row r="80" spans="1:13" ht="12.75">
      <c r="A80" s="57">
        <v>852</v>
      </c>
      <c r="B80" s="23"/>
      <c r="C80" s="32" t="s">
        <v>78</v>
      </c>
      <c r="D80" s="10"/>
      <c r="E80" s="19"/>
      <c r="F80" s="49">
        <f>F82+F86+F88+F96+F97+F99+F100</f>
        <v>3271560</v>
      </c>
      <c r="G80" s="49">
        <f aca="true" t="shared" si="13" ref="G80:M80">G82+G86+G88+G96+G97+G99+G100</f>
        <v>3271560</v>
      </c>
      <c r="H80" s="49">
        <f t="shared" si="13"/>
        <v>807600</v>
      </c>
      <c r="I80" s="49">
        <f t="shared" si="13"/>
        <v>159250</v>
      </c>
      <c r="J80" s="49">
        <f t="shared" si="13"/>
        <v>21300</v>
      </c>
      <c r="K80" s="49">
        <f t="shared" si="13"/>
        <v>0</v>
      </c>
      <c r="L80" s="49">
        <f t="shared" si="13"/>
        <v>0</v>
      </c>
      <c r="M80" s="49">
        <f t="shared" si="13"/>
        <v>0</v>
      </c>
    </row>
    <row r="81" spans="1:13" s="53" customFormat="1" ht="12.75">
      <c r="A81" s="57"/>
      <c r="B81" s="68">
        <v>85212</v>
      </c>
      <c r="C81" s="17" t="s">
        <v>88</v>
      </c>
      <c r="D81" s="48"/>
      <c r="E81" s="60"/>
      <c r="F81" s="52"/>
      <c r="G81" s="62"/>
      <c r="H81" s="48"/>
      <c r="I81" s="62"/>
      <c r="J81" s="48"/>
      <c r="K81" s="62"/>
      <c r="L81" s="48"/>
      <c r="M81" s="52"/>
    </row>
    <row r="82" spans="1:13" s="53" customFormat="1" ht="12.75">
      <c r="A82" s="57"/>
      <c r="B82" s="77"/>
      <c r="C82" s="17" t="s">
        <v>87</v>
      </c>
      <c r="D82" s="48"/>
      <c r="E82" s="60"/>
      <c r="F82" s="52">
        <v>1278460</v>
      </c>
      <c r="G82" s="62">
        <v>1278460</v>
      </c>
      <c r="H82" s="48">
        <f>67200+5100</f>
        <v>72300</v>
      </c>
      <c r="I82" s="62">
        <f>21940+1800</f>
        <v>23740</v>
      </c>
      <c r="J82" s="48">
        <v>0</v>
      </c>
      <c r="K82" s="62">
        <v>0</v>
      </c>
      <c r="L82" s="48">
        <v>0</v>
      </c>
      <c r="M82" s="52">
        <v>0</v>
      </c>
    </row>
    <row r="83" spans="1:13" s="53" customFormat="1" ht="12.75">
      <c r="A83" s="57"/>
      <c r="B83" s="69">
        <v>85213</v>
      </c>
      <c r="C83" s="17" t="s">
        <v>75</v>
      </c>
      <c r="D83" s="48"/>
      <c r="E83" s="60"/>
      <c r="F83" s="52"/>
      <c r="G83" s="62"/>
      <c r="H83" s="48"/>
      <c r="I83" s="62"/>
      <c r="J83" s="48"/>
      <c r="K83" s="62"/>
      <c r="L83" s="48"/>
      <c r="M83" s="52"/>
    </row>
    <row r="84" spans="1:13" s="53" customFormat="1" ht="12.75">
      <c r="A84" s="57"/>
      <c r="B84" s="77"/>
      <c r="C84" s="17" t="s">
        <v>76</v>
      </c>
      <c r="D84" s="48"/>
      <c r="E84" s="60"/>
      <c r="F84" s="52"/>
      <c r="G84" s="62"/>
      <c r="H84" s="48"/>
      <c r="I84" s="62"/>
      <c r="J84" s="48"/>
      <c r="K84" s="62"/>
      <c r="L84" s="48"/>
      <c r="M84" s="52"/>
    </row>
    <row r="85" spans="1:13" s="53" customFormat="1" ht="12.75">
      <c r="A85" s="57"/>
      <c r="B85" s="77"/>
      <c r="C85" s="17" t="s">
        <v>80</v>
      </c>
      <c r="D85" s="48"/>
      <c r="E85" s="60"/>
      <c r="F85" s="52"/>
      <c r="G85" s="62"/>
      <c r="H85" s="48"/>
      <c r="I85" s="62"/>
      <c r="J85" s="48"/>
      <c r="K85" s="62"/>
      <c r="L85" s="48"/>
      <c r="M85" s="52"/>
    </row>
    <row r="86" spans="1:13" s="53" customFormat="1" ht="12.75">
      <c r="A86" s="57"/>
      <c r="B86" s="77"/>
      <c r="C86" s="17" t="s">
        <v>81</v>
      </c>
      <c r="D86" s="48"/>
      <c r="E86" s="60"/>
      <c r="F86" s="52">
        <v>14000</v>
      </c>
      <c r="G86" s="62">
        <v>14000</v>
      </c>
      <c r="H86" s="48">
        <v>0</v>
      </c>
      <c r="I86" s="62">
        <v>0</v>
      </c>
      <c r="J86" s="48">
        <v>0</v>
      </c>
      <c r="K86" s="62">
        <v>0</v>
      </c>
      <c r="L86" s="48">
        <v>0</v>
      </c>
      <c r="M86" s="52">
        <v>0</v>
      </c>
    </row>
    <row r="87" spans="1:13" s="53" customFormat="1" ht="12.75">
      <c r="A87" s="57"/>
      <c r="B87" s="69">
        <v>85214</v>
      </c>
      <c r="C87" s="17" t="s">
        <v>40</v>
      </c>
      <c r="D87" s="48"/>
      <c r="E87" s="60"/>
      <c r="F87" s="52"/>
      <c r="G87" s="62"/>
      <c r="H87" s="48"/>
      <c r="I87" s="62"/>
      <c r="J87" s="48"/>
      <c r="K87" s="62"/>
      <c r="L87" s="48"/>
      <c r="M87" s="52"/>
    </row>
    <row r="88" spans="1:13" s="53" customFormat="1" ht="12.75">
      <c r="A88" s="125"/>
      <c r="B88" s="67"/>
      <c r="C88" s="126" t="s">
        <v>77</v>
      </c>
      <c r="D88" s="109"/>
      <c r="E88" s="127"/>
      <c r="F88" s="128">
        <v>572000</v>
      </c>
      <c r="G88" s="97">
        <v>572000</v>
      </c>
      <c r="H88" s="109">
        <v>0</v>
      </c>
      <c r="I88" s="97">
        <v>3000</v>
      </c>
      <c r="J88" s="109">
        <v>0</v>
      </c>
      <c r="K88" s="97">
        <v>0</v>
      </c>
      <c r="L88" s="109">
        <v>0</v>
      </c>
      <c r="M88" s="128">
        <v>0</v>
      </c>
    </row>
    <row r="89" spans="1:13" s="93" customFormat="1" ht="12.75">
      <c r="A89" s="96"/>
      <c r="B89" s="100"/>
      <c r="C89" s="101"/>
      <c r="D89" s="97"/>
      <c r="E89" s="98"/>
      <c r="F89" s="97"/>
      <c r="G89" s="99"/>
      <c r="H89" s="99"/>
      <c r="I89" s="99"/>
      <c r="J89" s="99"/>
      <c r="K89" s="99"/>
      <c r="L89" s="99"/>
      <c r="M89" s="99"/>
    </row>
    <row r="90" spans="1:13" ht="14.25" customHeight="1">
      <c r="A90" s="65"/>
      <c r="B90" s="3"/>
      <c r="C90" s="38"/>
      <c r="D90" s="12" t="s">
        <v>0</v>
      </c>
      <c r="E90" s="94" t="s">
        <v>65</v>
      </c>
      <c r="F90" s="82"/>
      <c r="G90" s="2" t="s">
        <v>5</v>
      </c>
      <c r="H90" s="2"/>
      <c r="I90" s="2"/>
      <c r="J90" s="2"/>
      <c r="K90" s="2"/>
      <c r="L90" s="2"/>
      <c r="M90" s="110"/>
    </row>
    <row r="91" spans="1:13" ht="14.25" customHeight="1">
      <c r="A91" s="65"/>
      <c r="B91" s="3"/>
      <c r="C91" s="38"/>
      <c r="D91" s="12"/>
      <c r="E91" s="36"/>
      <c r="F91" s="82" t="s">
        <v>93</v>
      </c>
      <c r="G91" s="16"/>
      <c r="H91" s="87" t="s">
        <v>8</v>
      </c>
      <c r="I91" s="83"/>
      <c r="J91" s="83"/>
      <c r="K91" s="83"/>
      <c r="L91" s="83"/>
      <c r="M91" s="86"/>
    </row>
    <row r="92" spans="1:13" ht="14.25" customHeight="1">
      <c r="A92" s="65"/>
      <c r="B92" s="3"/>
      <c r="C92" s="38"/>
      <c r="D92" s="12"/>
      <c r="E92" s="36"/>
      <c r="F92" s="61" t="s">
        <v>94</v>
      </c>
      <c r="G92" s="3" t="s">
        <v>98</v>
      </c>
      <c r="H92" s="85"/>
      <c r="I92" s="84"/>
      <c r="J92" s="84"/>
      <c r="K92" s="86"/>
      <c r="L92" s="86" t="s">
        <v>98</v>
      </c>
      <c r="M92" s="3" t="s">
        <v>106</v>
      </c>
    </row>
    <row r="93" spans="1:13" ht="12.75">
      <c r="A93" s="65" t="s">
        <v>89</v>
      </c>
      <c r="B93" s="17" t="s">
        <v>90</v>
      </c>
      <c r="C93" s="80" t="s">
        <v>97</v>
      </c>
      <c r="D93" s="12" t="s">
        <v>1</v>
      </c>
      <c r="E93" s="36" t="s">
        <v>66</v>
      </c>
      <c r="G93" s="3" t="s">
        <v>6</v>
      </c>
      <c r="H93" s="91" t="s">
        <v>108</v>
      </c>
      <c r="I93" s="85" t="s">
        <v>99</v>
      </c>
      <c r="J93" s="85" t="s">
        <v>101</v>
      </c>
      <c r="K93" s="3" t="s">
        <v>102</v>
      </c>
      <c r="L93" s="3" t="s">
        <v>104</v>
      </c>
      <c r="M93" s="3" t="s">
        <v>107</v>
      </c>
    </row>
    <row r="94" spans="1:13" ht="12.75">
      <c r="A94" s="66"/>
      <c r="B94" s="4"/>
      <c r="C94" s="39"/>
      <c r="D94" s="13" t="s">
        <v>2</v>
      </c>
      <c r="E94" s="54" t="s">
        <v>67</v>
      </c>
      <c r="F94" s="47"/>
      <c r="H94" s="88"/>
      <c r="I94" s="88" t="s">
        <v>100</v>
      </c>
      <c r="J94" s="88"/>
      <c r="K94" s="4" t="s">
        <v>103</v>
      </c>
      <c r="L94" s="88" t="s">
        <v>105</v>
      </c>
      <c r="M94" s="4"/>
    </row>
    <row r="95" spans="1:13" ht="12.75">
      <c r="A95" s="67">
        <v>1</v>
      </c>
      <c r="B95" s="21">
        <v>2</v>
      </c>
      <c r="C95" s="40">
        <v>3</v>
      </c>
      <c r="D95" s="21"/>
      <c r="E95" s="21">
        <v>4</v>
      </c>
      <c r="F95" s="51">
        <v>4</v>
      </c>
      <c r="G95" s="89">
        <v>5</v>
      </c>
      <c r="H95" s="89">
        <v>6</v>
      </c>
      <c r="I95" s="89">
        <v>7</v>
      </c>
      <c r="J95" s="89">
        <v>8</v>
      </c>
      <c r="K95" s="89">
        <v>9</v>
      </c>
      <c r="L95" s="90">
        <v>10</v>
      </c>
      <c r="M95" s="92">
        <v>11</v>
      </c>
    </row>
    <row r="96" spans="1:13" s="53" customFormat="1" ht="12.75">
      <c r="A96" s="57"/>
      <c r="B96" s="69">
        <v>85215</v>
      </c>
      <c r="C96" s="17" t="s">
        <v>16</v>
      </c>
      <c r="D96" s="48"/>
      <c r="E96" s="60"/>
      <c r="F96" s="52">
        <v>200000</v>
      </c>
      <c r="G96" s="62">
        <v>200000</v>
      </c>
      <c r="H96" s="48">
        <v>0</v>
      </c>
      <c r="I96" s="62">
        <v>0</v>
      </c>
      <c r="J96" s="48">
        <v>0</v>
      </c>
      <c r="K96" s="62">
        <v>0</v>
      </c>
      <c r="L96" s="48">
        <v>0</v>
      </c>
      <c r="M96" s="52">
        <v>0</v>
      </c>
    </row>
    <row r="97" spans="1:13" s="53" customFormat="1" ht="12.75">
      <c r="A97" s="57"/>
      <c r="B97" s="69">
        <v>85219</v>
      </c>
      <c r="C97" s="17" t="s">
        <v>41</v>
      </c>
      <c r="D97" s="48"/>
      <c r="E97" s="60"/>
      <c r="F97" s="52">
        <v>716540</v>
      </c>
      <c r="G97" s="62">
        <v>716540</v>
      </c>
      <c r="H97" s="48">
        <f>428500+31800+7800</f>
        <v>468100</v>
      </c>
      <c r="I97" s="62">
        <f>72550+11300</f>
        <v>83850</v>
      </c>
      <c r="J97" s="48">
        <v>0</v>
      </c>
      <c r="K97" s="62">
        <v>0</v>
      </c>
      <c r="L97" s="48">
        <v>0</v>
      </c>
      <c r="M97" s="52">
        <v>0</v>
      </c>
    </row>
    <row r="98" spans="1:13" s="53" customFormat="1" ht="12.75">
      <c r="A98" s="57"/>
      <c r="B98" s="69">
        <v>85228</v>
      </c>
      <c r="C98" s="17" t="s">
        <v>42</v>
      </c>
      <c r="D98" s="48"/>
      <c r="E98" s="60"/>
      <c r="F98" s="52"/>
      <c r="G98" s="62"/>
      <c r="H98" s="48"/>
      <c r="I98" s="62"/>
      <c r="J98" s="48"/>
      <c r="K98" s="62"/>
      <c r="L98" s="48"/>
      <c r="M98" s="52"/>
    </row>
    <row r="99" spans="1:13" s="53" customFormat="1" ht="12.75">
      <c r="A99" s="57"/>
      <c r="B99" s="69"/>
      <c r="C99" s="17" t="s">
        <v>43</v>
      </c>
      <c r="D99" s="48"/>
      <c r="E99" s="60"/>
      <c r="F99" s="52">
        <v>328260</v>
      </c>
      <c r="G99" s="62">
        <v>328260</v>
      </c>
      <c r="H99" s="48">
        <f>247700+19500</f>
        <v>267200</v>
      </c>
      <c r="I99" s="62">
        <f>42100+6560</f>
        <v>48660</v>
      </c>
      <c r="J99" s="48">
        <v>0</v>
      </c>
      <c r="K99" s="62">
        <v>0</v>
      </c>
      <c r="L99" s="48">
        <v>0</v>
      </c>
      <c r="M99" s="52">
        <v>0</v>
      </c>
    </row>
    <row r="100" spans="1:13" s="53" customFormat="1" ht="12.75">
      <c r="A100" s="57"/>
      <c r="B100" s="69">
        <v>85295</v>
      </c>
      <c r="C100" s="17" t="s">
        <v>10</v>
      </c>
      <c r="D100" s="48"/>
      <c r="E100" s="60"/>
      <c r="F100" s="52">
        <v>162300</v>
      </c>
      <c r="G100" s="62">
        <v>162300</v>
      </c>
      <c r="H100" s="48">
        <v>0</v>
      </c>
      <c r="I100" s="62">
        <v>0</v>
      </c>
      <c r="J100" s="48">
        <v>21300</v>
      </c>
      <c r="K100" s="62">
        <v>0</v>
      </c>
      <c r="L100" s="48">
        <v>0</v>
      </c>
      <c r="M100" s="52">
        <v>0</v>
      </c>
    </row>
    <row r="101" spans="1:13" s="28" customFormat="1" ht="12.75" customHeight="1">
      <c r="A101" s="57">
        <v>854</v>
      </c>
      <c r="B101" s="23"/>
      <c r="C101" s="32" t="s">
        <v>44</v>
      </c>
      <c r="D101" s="25"/>
      <c r="E101" s="26" t="e">
        <f>E102+#REF!+E105+#REF!+#REF!</f>
        <v>#REF!</v>
      </c>
      <c r="F101" s="25">
        <f>F102+F105+F106+F107+F108</f>
        <v>266016</v>
      </c>
      <c r="G101" s="25">
        <f aca="true" t="shared" si="14" ref="G101:M101">G102+G105+G106+G107+G108</f>
        <v>266016</v>
      </c>
      <c r="H101" s="25">
        <f t="shared" si="14"/>
        <v>172400</v>
      </c>
      <c r="I101" s="25">
        <f t="shared" si="14"/>
        <v>31800</v>
      </c>
      <c r="J101" s="25">
        <f t="shared" si="14"/>
        <v>0</v>
      </c>
      <c r="K101" s="25">
        <f t="shared" si="14"/>
        <v>0</v>
      </c>
      <c r="L101" s="25">
        <f t="shared" si="14"/>
        <v>0</v>
      </c>
      <c r="M101" s="25">
        <f t="shared" si="14"/>
        <v>0</v>
      </c>
    </row>
    <row r="102" spans="1:13" s="53" customFormat="1" ht="12.75">
      <c r="A102" s="57"/>
      <c r="B102" s="70">
        <v>85401</v>
      </c>
      <c r="C102" s="17" t="s">
        <v>45</v>
      </c>
      <c r="D102" s="48"/>
      <c r="E102" s="46" t="e">
        <f>#REF!+#REF!+#REF!+#REF!+#REF!</f>
        <v>#REF!</v>
      </c>
      <c r="F102" s="48">
        <v>212300</v>
      </c>
      <c r="G102" s="62">
        <v>212300</v>
      </c>
      <c r="H102" s="48">
        <f>160300+12100</f>
        <v>172400</v>
      </c>
      <c r="I102" s="62">
        <f>27700+4100</f>
        <v>31800</v>
      </c>
      <c r="J102" s="48">
        <v>0</v>
      </c>
      <c r="K102" s="62">
        <v>0</v>
      </c>
      <c r="L102" s="48">
        <v>0</v>
      </c>
      <c r="M102" s="48">
        <v>0</v>
      </c>
    </row>
    <row r="103" spans="1:13" s="53" customFormat="1" ht="12.75">
      <c r="A103" s="57"/>
      <c r="B103" s="69">
        <v>85412</v>
      </c>
      <c r="C103" s="17" t="s">
        <v>46</v>
      </c>
      <c r="D103" s="48"/>
      <c r="E103" s="46"/>
      <c r="F103" s="52"/>
      <c r="G103" s="62"/>
      <c r="H103" s="48"/>
      <c r="I103" s="62"/>
      <c r="J103" s="48"/>
      <c r="K103" s="62"/>
      <c r="L103" s="48"/>
      <c r="M103" s="48"/>
    </row>
    <row r="104" spans="1:13" s="53" customFormat="1" ht="12.75">
      <c r="A104" s="57"/>
      <c r="B104" s="69"/>
      <c r="C104" s="17" t="s">
        <v>47</v>
      </c>
      <c r="D104" s="48"/>
      <c r="E104" s="46"/>
      <c r="F104" s="52"/>
      <c r="G104" s="62"/>
      <c r="H104" s="48"/>
      <c r="I104" s="62"/>
      <c r="J104" s="48"/>
      <c r="K104" s="62"/>
      <c r="L104" s="48"/>
      <c r="M104" s="48"/>
    </row>
    <row r="105" spans="1:13" s="53" customFormat="1" ht="12.75">
      <c r="A105" s="57"/>
      <c r="B105" s="69"/>
      <c r="C105" s="17" t="s">
        <v>82</v>
      </c>
      <c r="D105" s="48"/>
      <c r="E105" s="46" t="e">
        <f>#REF!+#REF!+#REF!+#REF!+#REF!+#REF!+#REF!+#REF!</f>
        <v>#REF!</v>
      </c>
      <c r="F105" s="48">
        <v>11500</v>
      </c>
      <c r="G105" s="62">
        <v>11500</v>
      </c>
      <c r="H105" s="48">
        <v>0</v>
      </c>
      <c r="I105" s="62">
        <v>0</v>
      </c>
      <c r="J105" s="48">
        <v>0</v>
      </c>
      <c r="K105" s="62">
        <v>0</v>
      </c>
      <c r="L105" s="48">
        <v>0</v>
      </c>
      <c r="M105" s="48">
        <v>0</v>
      </c>
    </row>
    <row r="106" spans="1:13" s="53" customFormat="1" ht="12.75">
      <c r="A106" s="57"/>
      <c r="B106" s="69">
        <v>85415</v>
      </c>
      <c r="C106" s="17" t="s">
        <v>83</v>
      </c>
      <c r="D106" s="48"/>
      <c r="E106" s="60"/>
      <c r="F106" s="52">
        <v>40000</v>
      </c>
      <c r="G106" s="62">
        <v>40000</v>
      </c>
      <c r="H106" s="48">
        <v>0</v>
      </c>
      <c r="I106" s="62">
        <v>0</v>
      </c>
      <c r="J106" s="48">
        <v>0</v>
      </c>
      <c r="K106" s="62">
        <v>0</v>
      </c>
      <c r="L106" s="48">
        <v>0</v>
      </c>
      <c r="M106" s="48">
        <v>0</v>
      </c>
    </row>
    <row r="107" spans="1:13" s="53" customFormat="1" ht="12.75">
      <c r="A107" s="57"/>
      <c r="B107" s="69">
        <v>85446</v>
      </c>
      <c r="C107" s="17" t="s">
        <v>74</v>
      </c>
      <c r="D107" s="48"/>
      <c r="E107" s="60"/>
      <c r="F107" s="52">
        <v>576</v>
      </c>
      <c r="G107" s="62">
        <v>576</v>
      </c>
      <c r="H107" s="48">
        <v>0</v>
      </c>
      <c r="I107" s="62">
        <v>0</v>
      </c>
      <c r="J107" s="48">
        <v>0</v>
      </c>
      <c r="K107" s="62">
        <v>0</v>
      </c>
      <c r="L107" s="48">
        <v>0</v>
      </c>
      <c r="M107" s="48">
        <v>0</v>
      </c>
    </row>
    <row r="108" spans="1:13" s="53" customFormat="1" ht="12.75">
      <c r="A108" s="57"/>
      <c r="B108" s="69">
        <v>85495</v>
      </c>
      <c r="C108" s="17" t="s">
        <v>10</v>
      </c>
      <c r="D108" s="48"/>
      <c r="E108" s="60"/>
      <c r="F108" s="52">
        <v>1640</v>
      </c>
      <c r="G108" s="62">
        <v>1640</v>
      </c>
      <c r="H108" s="48">
        <v>0</v>
      </c>
      <c r="I108" s="62">
        <v>0</v>
      </c>
      <c r="J108" s="48">
        <v>0</v>
      </c>
      <c r="K108" s="62">
        <v>0</v>
      </c>
      <c r="L108" s="48">
        <v>0</v>
      </c>
      <c r="M108" s="48">
        <v>0</v>
      </c>
    </row>
    <row r="109" spans="1:13" s="28" customFormat="1" ht="12.75">
      <c r="A109" s="57">
        <v>900</v>
      </c>
      <c r="B109" s="23"/>
      <c r="C109" s="32" t="s">
        <v>48</v>
      </c>
      <c r="D109" s="25"/>
      <c r="E109" s="29"/>
      <c r="F109" s="49"/>
      <c r="G109" s="34"/>
      <c r="H109" s="25"/>
      <c r="I109" s="34"/>
      <c r="J109" s="25"/>
      <c r="K109" s="34"/>
      <c r="L109" s="25"/>
      <c r="M109" s="25"/>
    </row>
    <row r="110" spans="1:13" s="28" customFormat="1" ht="12.75">
      <c r="A110" s="57"/>
      <c r="B110" s="27"/>
      <c r="C110" s="32" t="s">
        <v>49</v>
      </c>
      <c r="D110" s="25"/>
      <c r="E110" s="26" t="e">
        <f>#REF!+E111+E112+E113+E114+E115</f>
        <v>#REF!</v>
      </c>
      <c r="F110" s="25">
        <f>F111+F112+F113+F114+F115</f>
        <v>10712370.719999999</v>
      </c>
      <c r="G110" s="25">
        <f aca="true" t="shared" si="15" ref="G110:M110">G111+G112+G113+G114+G115</f>
        <v>3338116</v>
      </c>
      <c r="H110" s="25">
        <f t="shared" si="15"/>
        <v>0</v>
      </c>
      <c r="I110" s="25">
        <f t="shared" si="15"/>
        <v>0</v>
      </c>
      <c r="J110" s="25">
        <f t="shared" si="15"/>
        <v>228000</v>
      </c>
      <c r="K110" s="25">
        <f t="shared" si="15"/>
        <v>0</v>
      </c>
      <c r="L110" s="25">
        <f t="shared" si="15"/>
        <v>0</v>
      </c>
      <c r="M110" s="25">
        <f t="shared" si="15"/>
        <v>7374254.72</v>
      </c>
    </row>
    <row r="111" spans="1:13" s="53" customFormat="1" ht="12.75">
      <c r="A111" s="57"/>
      <c r="B111" s="68">
        <v>90003</v>
      </c>
      <c r="C111" s="17" t="s">
        <v>50</v>
      </c>
      <c r="D111" s="48"/>
      <c r="E111" s="46" t="e">
        <f>+#REF!+#REF!+#REF!</f>
        <v>#REF!</v>
      </c>
      <c r="F111" s="48">
        <v>1435000</v>
      </c>
      <c r="G111" s="62">
        <f>F111-M111</f>
        <v>1435000</v>
      </c>
      <c r="H111" s="48">
        <v>0</v>
      </c>
      <c r="I111" s="62">
        <v>0</v>
      </c>
      <c r="J111" s="48">
        <v>0</v>
      </c>
      <c r="K111" s="62">
        <v>0</v>
      </c>
      <c r="L111" s="48">
        <v>0</v>
      </c>
      <c r="M111" s="48">
        <v>0</v>
      </c>
    </row>
    <row r="112" spans="1:13" s="53" customFormat="1" ht="12.75">
      <c r="A112" s="57"/>
      <c r="B112" s="69">
        <v>90004</v>
      </c>
      <c r="C112" s="17" t="s">
        <v>51</v>
      </c>
      <c r="D112" s="48"/>
      <c r="E112" s="46" t="e">
        <f>#REF!+#REF!+#REF!</f>
        <v>#REF!</v>
      </c>
      <c r="F112" s="48">
        <v>970000</v>
      </c>
      <c r="G112" s="62">
        <f>F112-M112</f>
        <v>915000</v>
      </c>
      <c r="H112" s="48">
        <v>0</v>
      </c>
      <c r="I112" s="62">
        <v>0</v>
      </c>
      <c r="J112" s="48">
        <v>0</v>
      </c>
      <c r="K112" s="62">
        <v>0</v>
      </c>
      <c r="L112" s="48">
        <v>0</v>
      </c>
      <c r="M112" s="48">
        <v>55000</v>
      </c>
    </row>
    <row r="113" spans="1:13" s="53" customFormat="1" ht="12.75">
      <c r="A113" s="57"/>
      <c r="B113" s="69">
        <v>90015</v>
      </c>
      <c r="C113" s="17" t="s">
        <v>52</v>
      </c>
      <c r="D113" s="48"/>
      <c r="E113" s="46" t="e">
        <f>#REF!+#REF!+#REF!</f>
        <v>#REF!</v>
      </c>
      <c r="F113" s="48">
        <v>1008254.72</v>
      </c>
      <c r="G113" s="62">
        <f>F113-M113</f>
        <v>505000</v>
      </c>
      <c r="H113" s="48">
        <v>0</v>
      </c>
      <c r="I113" s="62">
        <v>0</v>
      </c>
      <c r="J113" s="48">
        <v>0</v>
      </c>
      <c r="K113" s="62">
        <v>0</v>
      </c>
      <c r="L113" s="48">
        <v>0</v>
      </c>
      <c r="M113" s="48">
        <v>503254.72</v>
      </c>
    </row>
    <row r="114" spans="1:13" s="53" customFormat="1" ht="12.75">
      <c r="A114" s="57"/>
      <c r="B114" s="69">
        <v>90017</v>
      </c>
      <c r="C114" s="17" t="s">
        <v>73</v>
      </c>
      <c r="D114" s="48"/>
      <c r="E114" s="60" t="e">
        <f>#REF!</f>
        <v>#REF!</v>
      </c>
      <c r="F114" s="52">
        <v>1170000</v>
      </c>
      <c r="G114" s="62">
        <f>F114-M114</f>
        <v>200000</v>
      </c>
      <c r="H114" s="48">
        <v>0</v>
      </c>
      <c r="I114" s="62">
        <v>0</v>
      </c>
      <c r="J114" s="48">
        <v>200000</v>
      </c>
      <c r="K114" s="62">
        <v>0</v>
      </c>
      <c r="L114" s="48">
        <v>0</v>
      </c>
      <c r="M114" s="48">
        <v>970000</v>
      </c>
    </row>
    <row r="115" spans="1:13" s="53" customFormat="1" ht="12.75">
      <c r="A115" s="57"/>
      <c r="B115" s="69">
        <v>90095</v>
      </c>
      <c r="C115" s="17" t="s">
        <v>10</v>
      </c>
      <c r="D115" s="48"/>
      <c r="E115" s="46" t="e">
        <f>#REF!+#REF!</f>
        <v>#REF!</v>
      </c>
      <c r="F115" s="48">
        <v>6129116</v>
      </c>
      <c r="G115" s="62">
        <f>F115-M115</f>
        <v>283116</v>
      </c>
      <c r="H115" s="48">
        <v>0</v>
      </c>
      <c r="I115" s="62">
        <v>0</v>
      </c>
      <c r="J115" s="48">
        <v>28000</v>
      </c>
      <c r="K115" s="62">
        <v>0</v>
      </c>
      <c r="L115" s="48">
        <v>0</v>
      </c>
      <c r="M115" s="48">
        <f>4355000+1436000+55000</f>
        <v>5846000</v>
      </c>
    </row>
    <row r="116" spans="1:13" s="28" customFormat="1" ht="12.75">
      <c r="A116" s="57">
        <v>921</v>
      </c>
      <c r="B116" s="23"/>
      <c r="C116" s="32" t="s">
        <v>53</v>
      </c>
      <c r="D116" s="25"/>
      <c r="E116" s="29"/>
      <c r="F116" s="49"/>
      <c r="G116" s="34"/>
      <c r="H116" s="25"/>
      <c r="I116" s="34"/>
      <c r="J116" s="25"/>
      <c r="K116" s="34"/>
      <c r="L116" s="25"/>
      <c r="M116" s="25"/>
    </row>
    <row r="117" spans="1:13" s="28" customFormat="1" ht="12.75">
      <c r="A117" s="57"/>
      <c r="B117" s="24"/>
      <c r="C117" s="32" t="s">
        <v>54</v>
      </c>
      <c r="D117" s="25"/>
      <c r="E117" s="26" t="e">
        <f>E118+E119+E120</f>
        <v>#REF!</v>
      </c>
      <c r="F117" s="25">
        <f>SUM(F118:F120)</f>
        <v>6740885</v>
      </c>
      <c r="G117" s="25">
        <f aca="true" t="shared" si="16" ref="G117:M117">SUM(G118:G120)</f>
        <v>2740885</v>
      </c>
      <c r="H117" s="25">
        <f t="shared" si="16"/>
        <v>0</v>
      </c>
      <c r="I117" s="25">
        <f t="shared" si="16"/>
        <v>0</v>
      </c>
      <c r="J117" s="25">
        <f t="shared" si="16"/>
        <v>2740885</v>
      </c>
      <c r="K117" s="25">
        <f t="shared" si="16"/>
        <v>0</v>
      </c>
      <c r="L117" s="25">
        <f t="shared" si="16"/>
        <v>0</v>
      </c>
      <c r="M117" s="25">
        <f t="shared" si="16"/>
        <v>4000000</v>
      </c>
    </row>
    <row r="118" spans="1:13" s="53" customFormat="1" ht="12.75">
      <c r="A118" s="57"/>
      <c r="B118" s="68">
        <v>92109</v>
      </c>
      <c r="C118" s="17" t="s">
        <v>55</v>
      </c>
      <c r="D118" s="48"/>
      <c r="E118" s="46" t="e">
        <f>#REF!</f>
        <v>#REF!</v>
      </c>
      <c r="F118" s="48">
        <v>2703800</v>
      </c>
      <c r="G118" s="62">
        <f>F118-M118</f>
        <v>2353800</v>
      </c>
      <c r="H118" s="48">
        <v>0</v>
      </c>
      <c r="I118" s="62">
        <v>0</v>
      </c>
      <c r="J118" s="48">
        <v>2353800</v>
      </c>
      <c r="K118" s="62">
        <v>0</v>
      </c>
      <c r="L118" s="48"/>
      <c r="M118" s="48">
        <v>350000</v>
      </c>
    </row>
    <row r="119" spans="1:13" s="53" customFormat="1" ht="12.75" customHeight="1">
      <c r="A119" s="57"/>
      <c r="B119" s="69">
        <v>92116</v>
      </c>
      <c r="C119" s="17" t="s">
        <v>14</v>
      </c>
      <c r="D119" s="48"/>
      <c r="E119" s="60" t="e">
        <f>#REF!</f>
        <v>#REF!</v>
      </c>
      <c r="F119" s="52">
        <v>387085</v>
      </c>
      <c r="G119" s="62">
        <v>387085</v>
      </c>
      <c r="H119" s="48">
        <v>0</v>
      </c>
      <c r="I119" s="62">
        <v>0</v>
      </c>
      <c r="J119" s="48">
        <v>387085</v>
      </c>
      <c r="K119" s="62">
        <v>0</v>
      </c>
      <c r="L119" s="48">
        <v>0</v>
      </c>
      <c r="M119" s="48">
        <v>0</v>
      </c>
    </row>
    <row r="120" spans="1:13" s="53" customFormat="1" ht="12.75">
      <c r="A120" s="57"/>
      <c r="B120" s="69">
        <v>92195</v>
      </c>
      <c r="C120" s="17" t="s">
        <v>10</v>
      </c>
      <c r="D120" s="48"/>
      <c r="E120" s="46" t="e">
        <f>#REF!+#REF!+#REF!</f>
        <v>#REF!</v>
      </c>
      <c r="F120" s="48">
        <v>3650000</v>
      </c>
      <c r="G120" s="62">
        <v>0</v>
      </c>
      <c r="H120" s="48">
        <v>0</v>
      </c>
      <c r="I120" s="62">
        <v>0</v>
      </c>
      <c r="J120" s="48">
        <v>0</v>
      </c>
      <c r="K120" s="62">
        <v>0</v>
      </c>
      <c r="L120" s="48">
        <v>0</v>
      </c>
      <c r="M120" s="48">
        <v>3650000</v>
      </c>
    </row>
    <row r="121" spans="1:13" s="28" customFormat="1" ht="12.75">
      <c r="A121" s="57">
        <v>926</v>
      </c>
      <c r="B121" s="23"/>
      <c r="C121" s="32" t="s">
        <v>62</v>
      </c>
      <c r="D121" s="34"/>
      <c r="E121" s="25" t="e">
        <f>E122</f>
        <v>#REF!</v>
      </c>
      <c r="F121" s="25">
        <f>F122</f>
        <v>1160250</v>
      </c>
      <c r="G121" s="25">
        <f aca="true" t="shared" si="17" ref="G121:M121">G122</f>
        <v>660250</v>
      </c>
      <c r="H121" s="25">
        <f t="shared" si="17"/>
        <v>21000</v>
      </c>
      <c r="I121" s="25">
        <f t="shared" si="17"/>
        <v>17450</v>
      </c>
      <c r="J121" s="25">
        <f t="shared" si="17"/>
        <v>100000</v>
      </c>
      <c r="K121" s="25">
        <f t="shared" si="17"/>
        <v>0</v>
      </c>
      <c r="L121" s="25">
        <f t="shared" si="17"/>
        <v>0</v>
      </c>
      <c r="M121" s="25">
        <f t="shared" si="17"/>
        <v>500000</v>
      </c>
    </row>
    <row r="122" spans="1:13" s="53" customFormat="1" ht="12.75">
      <c r="A122" s="5"/>
      <c r="B122" s="68">
        <v>92695</v>
      </c>
      <c r="C122" s="17" t="s">
        <v>10</v>
      </c>
      <c r="D122" s="62"/>
      <c r="E122" s="48" t="e">
        <f>#REF!+#REF!+#REF!</f>
        <v>#REF!</v>
      </c>
      <c r="F122" s="48">
        <v>1160250</v>
      </c>
      <c r="G122" s="108">
        <f>F122-M122</f>
        <v>660250</v>
      </c>
      <c r="H122" s="109">
        <v>21000</v>
      </c>
      <c r="I122" s="97">
        <f>15000+2450</f>
        <v>17450</v>
      </c>
      <c r="J122" s="109">
        <v>100000</v>
      </c>
      <c r="K122" s="97">
        <v>0</v>
      </c>
      <c r="L122" s="109">
        <v>0</v>
      </c>
      <c r="M122" s="109">
        <v>500000</v>
      </c>
    </row>
    <row r="123" spans="1:13" s="28" customFormat="1" ht="12.75">
      <c r="A123" s="66"/>
      <c r="B123" s="42"/>
      <c r="C123" s="43" t="s">
        <v>63</v>
      </c>
      <c r="D123" s="44"/>
      <c r="E123" s="45" t="e">
        <f>E121++E117+E110+E101+#REF!+E76+E66+E63+E60+#REF!+E41+E32+E28+E25+E23+E19+E13</f>
        <v>#REF!</v>
      </c>
      <c r="F123" s="50">
        <f>F121+F117+F110+F101+F80+F76+F66+F63+F60+F54+F41+F32+F28+F25+F23+F19+F17+F13</f>
        <v>66976506.59</v>
      </c>
      <c r="G123" s="50">
        <f>G121+G117+G110+G101+G80+G76+G66+G63+G60+G54+G41+G32+G28+G25+G23+G19+G17+G13</f>
        <v>30679200.6</v>
      </c>
      <c r="H123" s="50">
        <f>H121+H117+H110+H101+H80+H76+H66+H63+H60+H54+H41+H32+H28+H25+H23+H19+H17+H13</f>
        <v>9301370</v>
      </c>
      <c r="I123" s="50">
        <f>I121+I117+I110+I101+I80+I76+I66+I63+I60+I54+I41+I32+I28+I25+I23+I19+I17+I13</f>
        <v>1662050</v>
      </c>
      <c r="J123" s="50">
        <f>J121+J117+J110+J101+J80+J76+J66+J63+J60+J54+J41+J32+J28+J25+J23+J19+J17+J13</f>
        <v>3195185</v>
      </c>
      <c r="K123" s="50">
        <f>K121+K117+K110+K101+K80+K76+K66+K63+K60+K54+K41+K32+K28+K25+K23+K19+K17+K13</f>
        <v>598000</v>
      </c>
      <c r="L123" s="50">
        <f>L121+L117+L110+L101+L80+L76+L66+L63+L60+L54+L41+L32+L28+L25+L23+L19+L17+L13</f>
        <v>0</v>
      </c>
      <c r="M123" s="50">
        <f>M121+M117+M110+M101+M80+M76+M66+M63+M60+M54+M41+M32+M28+M25+M23+M19+M17+M13</f>
        <v>36297305.989999995</v>
      </c>
    </row>
    <row r="125" ht="12.75">
      <c r="G125" s="11"/>
    </row>
  </sheetData>
  <mergeCells count="2">
    <mergeCell ref="A4:I4"/>
    <mergeCell ref="A5:I5"/>
  </mergeCells>
  <printOptions/>
  <pageMargins left="0" right="0" top="0.5118110236220472" bottom="0.31496062992125984" header="0.11811023622047245" footer="0.11811023622047245"/>
  <pageSetup horizontalDpi="600" verticalDpi="600" orientation="landscape" paperSize="9" scale="95" r:id="rId1"/>
  <headerFooter alignWithMargins="0">
    <oddHeader>&amp;C&amp;F</oddHead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xxx</cp:lastModifiedBy>
  <cp:lastPrinted>2008-12-17T14:34:34Z</cp:lastPrinted>
  <dcterms:created xsi:type="dcterms:W3CDTF">2000-10-12T12:51:35Z</dcterms:created>
  <dcterms:modified xsi:type="dcterms:W3CDTF">2008-12-30T09:21:51Z</dcterms:modified>
  <cp:category/>
  <cp:version/>
  <cp:contentType/>
  <cp:contentStatus/>
</cp:coreProperties>
</file>