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375" windowHeight="5475" activeTab="0"/>
  </bookViews>
  <sheets>
    <sheet name="OPIS97" sheetId="1" r:id="rId1"/>
  </sheets>
  <definedNames/>
  <calcPr fullCalcOnLoad="1"/>
</workbook>
</file>

<file path=xl/sharedStrings.xml><?xml version="1.0" encoding="utf-8"?>
<sst xmlns="http://schemas.openxmlformats.org/spreadsheetml/2006/main" count="602" uniqueCount="546">
  <si>
    <t xml:space="preserve">    D2.2.Spłaty pożyczek</t>
  </si>
  <si>
    <t>Przewiduje się dochody z tytułu</t>
  </si>
  <si>
    <t>wpływów z opłat za zajęcie pasa drogowego</t>
  </si>
  <si>
    <t xml:space="preserve">Przewiduje się dochody z dotacji otrzymanych z Gminy Wolin </t>
  </si>
  <si>
    <t>Dochody ogółem przewiduje się na sumę</t>
  </si>
  <si>
    <t xml:space="preserve">W roku 2009 planuje się sprzedać następujące </t>
  </si>
  <si>
    <t>nieruchomości:</t>
  </si>
  <si>
    <t xml:space="preserve">   2/nieruchomości niezabudowane położone w Wicku, ul.Żwirowa,</t>
  </si>
  <si>
    <t xml:space="preserve">     działki o nr 120/28,120/19,120/29,120/34,120/30,120/34, </t>
  </si>
  <si>
    <t xml:space="preserve">     120/31,120/32,120/33,120/35</t>
  </si>
  <si>
    <t xml:space="preserve">      działka nr 85/6 o pow.23 790 m2,</t>
  </si>
  <si>
    <t xml:space="preserve">       działka nr 487/26 o pow.2 100 m2 i część działki nr 487/23 </t>
  </si>
  <si>
    <t xml:space="preserve">       o pow. około 1500 m2</t>
  </si>
  <si>
    <t xml:space="preserve">   b/ lokali mieszkalnych</t>
  </si>
  <si>
    <t>Dochody ogółem przewiduje się na kwotę</t>
  </si>
  <si>
    <t>na kwotę</t>
  </si>
  <si>
    <t>Przewiduje się dochody z tytułu opłaty adiacenckiej</t>
  </si>
  <si>
    <t xml:space="preserve">Dochody ogółem przewiduje się na kwotę, </t>
  </si>
  <si>
    <t>2.podatek od nieruchomości</t>
  </si>
  <si>
    <t xml:space="preserve">3.podatek rolny </t>
  </si>
  <si>
    <t>4. podatek leśny</t>
  </si>
  <si>
    <t xml:space="preserve">5. podatek od środków transportowych </t>
  </si>
  <si>
    <t xml:space="preserve">6. podatek od czynności cywilnoprawnych </t>
  </si>
  <si>
    <t>7.wpływy z różnych opłat (prolongacyjna i upomnienia )</t>
  </si>
  <si>
    <t>8. odsetki od nieterminowych wpłat z tyt.podat. i opłat</t>
  </si>
  <si>
    <t>9. podatek od spadków i darowizn</t>
  </si>
  <si>
    <t>10. opłata od posiadania psów</t>
  </si>
  <si>
    <t>11. wpływy z opłaty targowej</t>
  </si>
  <si>
    <t>12.wpływy z opłaty miejscowej</t>
  </si>
  <si>
    <t>13.wpływy z opłaty skarbowej</t>
  </si>
  <si>
    <t>14.wpływy z opłat za zezwolenia na sprzedaż alkoholu</t>
  </si>
  <si>
    <t>15.wpływy z innych lokalnych opłat (opłaty za wpis i za zmiany</t>
  </si>
  <si>
    <t>16.udziały gminy w podatku dochodowym od osób fizycznych</t>
  </si>
  <si>
    <t>17.udziały gminy w podatku dochodowym od osób prawnych</t>
  </si>
  <si>
    <t>2.część równoważąca dodatki mieszkaniowe</t>
  </si>
  <si>
    <t xml:space="preserve">     3.różnych dochodów i odsetek</t>
  </si>
  <si>
    <t>7/środki z Funduszu Rozwoju Kultury Fizycznej</t>
  </si>
  <si>
    <t>Minister Finansów pismem nr ST3/4820/21/2008 z dnia 10.10.2008 r.</t>
  </si>
  <si>
    <t xml:space="preserve">poinformował o planowanej subwencji ogólnej na rok 2009 </t>
  </si>
  <si>
    <t>w wysokości</t>
  </si>
  <si>
    <t>z tego na:</t>
  </si>
  <si>
    <t>1.część oświatową</t>
  </si>
  <si>
    <t>Dochody stanowią wpływy z najmu budynku gimnazjum</t>
  </si>
  <si>
    <t>w okresie wakacji</t>
  </si>
  <si>
    <t>Przewiduje się dochody z opłaty produktowej na kwotę</t>
  </si>
  <si>
    <t xml:space="preserve">   w przewozie pasażerów zgodnie z art.18a</t>
  </si>
  <si>
    <t>3.wydatki związane z realizacją programu "Błękitna Flaga"</t>
  </si>
  <si>
    <t xml:space="preserve">  b/ zwrotu nakładów poczynionych na nieruchomości </t>
  </si>
  <si>
    <t xml:space="preserve">      użytkowane bez tytułu prawnego przez FWP</t>
  </si>
  <si>
    <t xml:space="preserve">  c/ innych ewentualnych kar i odszkodowań </t>
  </si>
  <si>
    <t>3.wydatki związane z utrzymaniem nieruchomości:</t>
  </si>
  <si>
    <t xml:space="preserve">   c/ koszty windykacji zaległych czynszów</t>
  </si>
  <si>
    <t xml:space="preserve">   d/rozbiórka budynku przy ul.Norwida 19a</t>
  </si>
  <si>
    <t>5.promocja</t>
  </si>
  <si>
    <t xml:space="preserve">6.wydatki osobowe niezaliczone do wynagrodzeń (zastępcza </t>
  </si>
  <si>
    <t>7.wynagrodzenia z tyt.inkasa podatków i opłat lokalnych</t>
  </si>
  <si>
    <t>8.wynagrodzenia osobowe (roboty publiczne refundowane)</t>
  </si>
  <si>
    <t>9.wydatki związane z  eksploatacją kotłowni urzędu</t>
  </si>
  <si>
    <t>10.wpłaty gmin na rzecz związków celowych, w tym:</t>
  </si>
  <si>
    <t xml:space="preserve">  utrzymanie sił wsparcia (sezon 2009) oraz remont budynku Komisariatu</t>
  </si>
  <si>
    <t>2.utrzymanie Ochotniczej Straży Pożarnej</t>
  </si>
  <si>
    <t>3.obrona cywilna</t>
  </si>
  <si>
    <t>4.zarządzanie kryzysowe</t>
  </si>
  <si>
    <t>2.odsetki od kredytów i pożyczek</t>
  </si>
  <si>
    <t>kultury fizycznej -stadion</t>
  </si>
  <si>
    <t>1.roczna kwota wpłaty Gminy do budżetu państwa</t>
  </si>
  <si>
    <t xml:space="preserve">1.utrzymanie szkoły podstawowej nr 1 (w tym utrzymanie </t>
  </si>
  <si>
    <t>UKS Chrobry 90 000 zł)</t>
  </si>
  <si>
    <t>4.bezpłatne szczepienia przeciwko grypie oraz rakowi szyjki macicy</t>
  </si>
  <si>
    <t xml:space="preserve">  a także koszty obsługi świadczeń rodzinnych</t>
  </si>
  <si>
    <t xml:space="preserve">8.utrzymanie Ośrodka Pomocy Społecznej </t>
  </si>
  <si>
    <t xml:space="preserve">9.utrzymanie opiekunek, w tym na zadania zlecone polegające </t>
  </si>
  <si>
    <t>na prowadzeniu specjalistycznych usług opiekuńczych-39 000 zł</t>
  </si>
  <si>
    <t>5.inne remonty</t>
  </si>
  <si>
    <t>6.opieka nad bezdomnymi zwierzętami</t>
  </si>
  <si>
    <t>7.dotacja celowa dla Gminy Golczewo na utrzymanie 15 stanowisk</t>
  </si>
  <si>
    <t>8.monitoring składowiska odpadów</t>
  </si>
  <si>
    <t>4.zakup usług na stadionie miejskim</t>
  </si>
  <si>
    <t>2.rezerwa ogólna</t>
  </si>
  <si>
    <t xml:space="preserve">3.rezerwa celowa-realizacja zadań własnych z zakresu </t>
  </si>
  <si>
    <t>1.wpłata na rzecz Izby Rolniczej</t>
  </si>
  <si>
    <t>2.wykonanie zastępcze przyłącza kanalizacyjnego-</t>
  </si>
  <si>
    <t>ul.Kolonijna w Wicku</t>
  </si>
  <si>
    <t>9.monitoring wód gruntowych w rejonie plaży kapieliska morskiego</t>
  </si>
  <si>
    <t>10.utrzymanie przepompowni melioracyjnej (energia i konserwacja)</t>
  </si>
  <si>
    <t>11.dotacja przedmiotowa dla ZOŚ -dofinansowanie utrzymania stadionu</t>
  </si>
  <si>
    <t>12.dotacja przedmiotowa dla ZOŚ-dofinansowanie (cmentarz)</t>
  </si>
  <si>
    <t>trzech gminnych spółek z o.o.</t>
  </si>
  <si>
    <t xml:space="preserve">1.budowa amfiteatru wraz ze sceną i zapleczem oraz zabudową </t>
  </si>
  <si>
    <t>towarzyszącą i przyłączami na nieruchomości położonej</t>
  </si>
  <si>
    <t>przy ul.Boh.Warszawy w Międzyzdrojach</t>
  </si>
  <si>
    <t xml:space="preserve">    niepełnosprawnych fizycznie poruszających się na wózkach</t>
  </si>
  <si>
    <t>Opis dochodów   w  zł</t>
  </si>
  <si>
    <t>w tym :</t>
  </si>
  <si>
    <t>OŚWIATA  I  WYCHOWANIE</t>
  </si>
  <si>
    <t>z tego:</t>
  </si>
  <si>
    <t xml:space="preserve"> 1/ dzierżawy sal lekcyjnych,gimnastycznych</t>
  </si>
  <si>
    <t xml:space="preserve">     siłowni i innych </t>
  </si>
  <si>
    <t xml:space="preserve">     z czego przpada na:</t>
  </si>
  <si>
    <t xml:space="preserve">     szkoła podstawowa nr 1 </t>
  </si>
  <si>
    <t xml:space="preserve">     szkoła podstawowa nr 2</t>
  </si>
  <si>
    <t xml:space="preserve">     gimnazjum</t>
  </si>
  <si>
    <t xml:space="preserve">   z czego przypada na:</t>
  </si>
  <si>
    <t>w tym:</t>
  </si>
  <si>
    <t>DOCHODY  OD  OSÓB  PRAWNYCH, OSÓB FIZYCZNYCH</t>
  </si>
  <si>
    <t>Dochody ogółem wynoszą</t>
  </si>
  <si>
    <t>RÓŻNE  ROZLICZENIA</t>
  </si>
  <si>
    <t xml:space="preserve">   z tego na:</t>
  </si>
  <si>
    <t xml:space="preserve"> D O C H O D Y     O G Ó Ł E M</t>
  </si>
  <si>
    <t>Opis wydatków  w zł</t>
  </si>
  <si>
    <t xml:space="preserve">1.utrzymanie czystości  </t>
  </si>
  <si>
    <t xml:space="preserve">2.utrzymanie zieleni </t>
  </si>
  <si>
    <t>OCHRONA  ZDROWIA</t>
  </si>
  <si>
    <t>KULTURA  FIZYCZNA  I  SPORT</t>
  </si>
  <si>
    <t xml:space="preserve">  Związek Miast i Gmin Morskich</t>
  </si>
  <si>
    <t>1.zadania  zlecone - sprawy obywatelskie</t>
  </si>
  <si>
    <t>Wydatki inwestycyjne i majątkowe - ogółem</t>
  </si>
  <si>
    <t xml:space="preserve">O G Ó Ł E M       W Y D A T K I </t>
  </si>
  <si>
    <t>ROLNICTWO  I  ŁOWIECTWO</t>
  </si>
  <si>
    <t>Dział 630</t>
  </si>
  <si>
    <t>TURYSTYKA</t>
  </si>
  <si>
    <t>Dział 700</t>
  </si>
  <si>
    <t>GOSPODARKA  MIESZKANIOWA</t>
  </si>
  <si>
    <t xml:space="preserve">   Państwa  lub jedn.samorządu teryt.oraz innych</t>
  </si>
  <si>
    <t xml:space="preserve">   umów o podobnym charakterze</t>
  </si>
  <si>
    <t>Dział 750</t>
  </si>
  <si>
    <t>ADMINISTRACJA  PUBLICZNA</t>
  </si>
  <si>
    <t>Dział 751</t>
  </si>
  <si>
    <t>URZĘDY NACZELNYCH ORGANÓW WŁADZY PAŃSTWOWEJ...</t>
  </si>
  <si>
    <t>Dział 754</t>
  </si>
  <si>
    <t>BEZPIECZEŃSTWO PUBLICZNE I OCHRONA PRZECIWPOŻAROWA</t>
  </si>
  <si>
    <t>Dział 756</t>
  </si>
  <si>
    <t>1.podatek od działalności gospodarczej osób fizycznych</t>
  </si>
  <si>
    <t xml:space="preserve">   opłacany w formie karty podatkowej</t>
  </si>
  <si>
    <t>Dział 758</t>
  </si>
  <si>
    <t>Dział 801</t>
  </si>
  <si>
    <t>Dział 854</t>
  </si>
  <si>
    <t>EDUKACYJNA OPIEKA WYCHOWAWCZA</t>
  </si>
  <si>
    <t>Dział 900</t>
  </si>
  <si>
    <t>Dział 600</t>
  </si>
  <si>
    <t>TRANSPORT I ŁĄCZNOŚĆ</t>
  </si>
  <si>
    <t>Wydatki bieżące ogółem</t>
  </si>
  <si>
    <t xml:space="preserve">TURYSTYKA  </t>
  </si>
  <si>
    <t>Dział 710</t>
  </si>
  <si>
    <t>DZIAŁALNOŚĆ  USŁUGOWA</t>
  </si>
  <si>
    <t>1.plan zagospodarowania przestrzennego</t>
  </si>
  <si>
    <t xml:space="preserve">   (podziały gruntu,wykazy zmian gruntowych, aktualizacja</t>
  </si>
  <si>
    <t xml:space="preserve">    mapy  i inne)</t>
  </si>
  <si>
    <t>ADMINISTRACJA   PUBLICZNA</t>
  </si>
  <si>
    <t>URZĘDY NACZELNYCH ORGANÓW WŁADZY PAŃSTWOWEJ....</t>
  </si>
  <si>
    <t>BEZPIECZEŃSTWO  PUBLICZNE  I OCHRONA PRZECIWPOŻAROWA</t>
  </si>
  <si>
    <t>Dział 757</t>
  </si>
  <si>
    <t>OBSŁUGA DŁUGU PUBLICZNEGO</t>
  </si>
  <si>
    <t>RÓŻNE ROZLICZENIA</t>
  </si>
  <si>
    <t>Dział 851</t>
  </si>
  <si>
    <t>1.utrzymanie świetlic szkolnych ( szkoła nr 1 i gimnazjum)</t>
  </si>
  <si>
    <t>GOSPODARKA  KOMUNALNA I OCHRONA ŚRODOWISKA</t>
  </si>
  <si>
    <t>KULTURA  I OCHRONA DZIEDZICTWA NARODOWEGO</t>
  </si>
  <si>
    <t>1.dotacja dla Międzynarodowego Domu Kultury</t>
  </si>
  <si>
    <t>Dział 926</t>
  </si>
  <si>
    <t>Dział 921</t>
  </si>
  <si>
    <t xml:space="preserve">P r z y c h o d y   ogółem wynoszą </t>
  </si>
  <si>
    <t>W y d a t k i   ogółem wynoszą</t>
  </si>
  <si>
    <t>Zakład Ochrony Środowiska w Międzyzdrojach</t>
  </si>
  <si>
    <t xml:space="preserve">    pojemników itp..</t>
  </si>
  <si>
    <t>Gminny Fundusz Ochrony Środowiska i Gospodarki Wodnej</t>
  </si>
  <si>
    <t>Dział O10</t>
  </si>
  <si>
    <t xml:space="preserve">   zadań z zakresu spraw obywatelskich/ewid.ludn. i USC/ </t>
  </si>
  <si>
    <t xml:space="preserve">     szkoła podstawowa nr 1</t>
  </si>
  <si>
    <t xml:space="preserve">   z pomocy społecznej</t>
  </si>
  <si>
    <t xml:space="preserve">  Stowarzyszenie Gmin Polskich Euroregionu  POMERANIA</t>
  </si>
  <si>
    <t xml:space="preserve">   mianowanego</t>
  </si>
  <si>
    <t xml:space="preserve">1/sprzedaż usług: oczyszczanie miasta, wywóz </t>
  </si>
  <si>
    <t xml:space="preserve">   nieczystości, utrzymanie zieleni miejskiej, cmentarzy,</t>
  </si>
  <si>
    <t>1.wpływy z rocznej opłaty za  użytkowanie i użytk.wieczyste</t>
  </si>
  <si>
    <t xml:space="preserve">     i różne dochody</t>
  </si>
  <si>
    <t xml:space="preserve">    ubezpieczenia społeczne </t>
  </si>
  <si>
    <t xml:space="preserve">2.opracowania geodezyjne i kartograficzne </t>
  </si>
  <si>
    <t>2.utrzymanie Rady Miejskiej</t>
  </si>
  <si>
    <t xml:space="preserve">3.utrzymanie  Urzędu Miasta </t>
  </si>
  <si>
    <t>4.komisje poborowe</t>
  </si>
  <si>
    <t>GOSPODARKA KOMUNALNA I OCHRONA ŚRODOWISKA</t>
  </si>
  <si>
    <t xml:space="preserve">    z tego:</t>
  </si>
  <si>
    <t xml:space="preserve">    D1.1. Kredyty bankowe</t>
  </si>
  <si>
    <t xml:space="preserve">    D2.1. Spłaty kredytów</t>
  </si>
  <si>
    <t>2.dochody z najmu i dzierżawy skł.majątkowych Skarbu</t>
  </si>
  <si>
    <t>3.wpływy z tyt.przekształcenia prawa użytk. wieczyst.</t>
  </si>
  <si>
    <t>I  OD INNYCH JEDNOSTEK NIEPOSIADAJĄCYCH OSOBOWOŚCI</t>
  </si>
  <si>
    <t>Dział 852</t>
  </si>
  <si>
    <t>POMOC  SPOŁECZNA</t>
  </si>
  <si>
    <t>POMOC SPOŁECZNA</t>
  </si>
  <si>
    <t>PRAWNEJ ORAZ WYDATKI ZWIĄZANE Z ICH POBOREM</t>
  </si>
  <si>
    <t xml:space="preserve">   z tytułu:</t>
  </si>
  <si>
    <t xml:space="preserve">     1.opłaty za przedszkole </t>
  </si>
  <si>
    <t xml:space="preserve">     2.odpłatności za posiłki w przedszkolu</t>
  </si>
  <si>
    <t>4.wpłaty z tyt.odpłatnego nabycia prawa własności</t>
  </si>
  <si>
    <t xml:space="preserve">   oraz prawa użytkowania wieczystego nieruchomości</t>
  </si>
  <si>
    <t>dotacja na prowadzenie i aktualizację rejestu wyborców</t>
  </si>
  <si>
    <t>wpływy z tytułu mandatów od ludności</t>
  </si>
  <si>
    <t>1.dotacja z przeznaczeniem na świadczenia rodzinne oraz</t>
  </si>
  <si>
    <t xml:space="preserve">   społecznego</t>
  </si>
  <si>
    <t xml:space="preserve">   składki na ubezpieczenia emerytalne i rentowe z ubezpieczenia</t>
  </si>
  <si>
    <t>2.dotacja z przeznaczeniem na składki na ubezpieczenie</t>
  </si>
  <si>
    <t xml:space="preserve">   zdrowotne opłacane za osoby pobierające niektóre  świadczenia</t>
  </si>
  <si>
    <t xml:space="preserve">3. dotacja na zasiłki i pomoc w naturze oraz składki na </t>
  </si>
  <si>
    <t>4.dotacja z przeznaczeniem na zasiłki okresowe</t>
  </si>
  <si>
    <t>5.dotacja na utrzymanie  Ośrodka Pomocy Społecznej</t>
  </si>
  <si>
    <t>6.wpływy z usług opiekuńczych</t>
  </si>
  <si>
    <t xml:space="preserve">    nauczycieli rencistów i emerytów</t>
  </si>
  <si>
    <t>2.składki na ubezpieczenia zdrowotne</t>
  </si>
  <si>
    <t>3.świadczenia społeczne i składki na ubezp.społ.-zadania zlecone</t>
  </si>
  <si>
    <t xml:space="preserve">4.świadczenia społeczne- zadania  własne </t>
  </si>
  <si>
    <t>1. utrzymanie dróg publicznych gminnych</t>
  </si>
  <si>
    <t>2. dopłaty do biletów z tytułu kosztów stosowania ulg</t>
  </si>
  <si>
    <t xml:space="preserve">    Problemów Alkoholowych</t>
  </si>
  <si>
    <t>TRANSPORT  I ŁĄCZNOŚĆ</t>
  </si>
  <si>
    <t xml:space="preserve">   przysług.osobom fizycznym w prawo własności</t>
  </si>
  <si>
    <t>2. 5% udział gminy z tyt.poboru opłat za wydanie dowodu osobistego</t>
  </si>
  <si>
    <t xml:space="preserve">  Związek Miast Polskich</t>
  </si>
  <si>
    <t>3.utrzymanie oddziału przedszkolnego w szkole nr 2</t>
  </si>
  <si>
    <t>5.świadczenia społeczne-zadania własne (zasiłki okresowe)</t>
  </si>
  <si>
    <t>2.koszty związane z wynajmem gimnazjum w okresie wakacji</t>
  </si>
  <si>
    <t>3.pomoc materialna dla uczniów (stypendia socjalne)</t>
  </si>
  <si>
    <t>3.oświetlenie ulic (energia)</t>
  </si>
  <si>
    <t xml:space="preserve">4.konserwacja oświetlenia </t>
  </si>
  <si>
    <t>GOSPODARKA MIESZKANIOWA</t>
  </si>
  <si>
    <t>4. wpływy ze sprzedaży ciepła dla BGŻ</t>
  </si>
  <si>
    <t>5. odsetki od środków na rachunkach bankowych</t>
  </si>
  <si>
    <t xml:space="preserve">  Związek Gmin Wyspy Wolin</t>
  </si>
  <si>
    <t>1. zwalczanie narkomanii</t>
  </si>
  <si>
    <t>2. realizacja programu Gminnej Komisji Rozwiązywania</t>
  </si>
  <si>
    <t xml:space="preserve">   na ubezpieczenia emeryt.i rent.z ubezp.społecznego</t>
  </si>
  <si>
    <t xml:space="preserve">1.świadczenia rodzinne, zaliczka alimentacyjna oraz składki </t>
  </si>
  <si>
    <t xml:space="preserve">   a/zwrotu nakładów poczynionych na nieruchomości</t>
  </si>
  <si>
    <t xml:space="preserve">     położonej przy ul.Dąbrówki 13</t>
  </si>
  <si>
    <t xml:space="preserve">   a/opłata za użytkowanie dna morskiego</t>
  </si>
  <si>
    <t xml:space="preserve">    będących w zarządzie MTBS</t>
  </si>
  <si>
    <t xml:space="preserve">    b/utrzymanie budynków i lokali ( mieszkalnych i użytkowych)</t>
  </si>
  <si>
    <t>1.prowizja bankowa - kredyt w rachunku bieżącym</t>
  </si>
  <si>
    <t>1.urządzenie cmentarza w Międzyzdrojach</t>
  </si>
  <si>
    <t xml:space="preserve">Dział 921 </t>
  </si>
  <si>
    <t>KULTURA I OCHRONA DZIEDZICTWA NARODOWEGO</t>
  </si>
  <si>
    <t xml:space="preserve">3/dotacja przedmiotowa z budżetu z przeznaczeniem na </t>
  </si>
  <si>
    <t>1. dotacja na zad.zlecone z przeznaczeniem na finansowanie</t>
  </si>
  <si>
    <t xml:space="preserve">   ustawy o transporcie drogowym</t>
  </si>
  <si>
    <t xml:space="preserve">   dla bezdomnych psów w schronisku</t>
  </si>
  <si>
    <t>Dział 010</t>
  </si>
  <si>
    <t>ROLNICTWO I ŁOWIECTWO</t>
  </si>
  <si>
    <t xml:space="preserve">   rondo ul.Zwycięstwa Międzyzdroje</t>
  </si>
  <si>
    <t>1.rekultywacja składowiska odpadów komunalnych</t>
  </si>
  <si>
    <t>4.dotacja celowa dla Zakładu Ochrony Środowiska z przeznaczeniem</t>
  </si>
  <si>
    <t xml:space="preserve">na realizację zadania inwestycyjnego pn."Uporządkowanie </t>
  </si>
  <si>
    <t>gospodarki wodno-ściekowej na obszarze Związku Gmin Wyspy</t>
  </si>
  <si>
    <t>Wolin (udział gminy Międzyzdroje w realizacji zadania)</t>
  </si>
  <si>
    <t>KULTURA FIZYCZNA I SPORT</t>
  </si>
  <si>
    <t xml:space="preserve"> pn."Rozbudowa hali sportowej z zapleczem przy szkole</t>
  </si>
  <si>
    <t xml:space="preserve"> podstawowej nr 1 w Międzyzdrojach"oraz pełnienie funkcji</t>
  </si>
  <si>
    <t xml:space="preserve"> opracowanie studium wykonalności projektu wraz </t>
  </si>
  <si>
    <t xml:space="preserve"> nr 1 w Międzyzdrojach,ul.Leśna 17 w tym:</t>
  </si>
  <si>
    <t xml:space="preserve">   nieruchomości i zarząd</t>
  </si>
  <si>
    <t>5.wpływy ze sprzedaży mienia komunalnego:</t>
  </si>
  <si>
    <t>6.odsetki od nieterminowej płatności zobowiązań i inne dochody</t>
  </si>
  <si>
    <t>7.zwrot nakładów i odsetek na przedsięwzięcie termomodernizacyjne</t>
  </si>
  <si>
    <t>8.wynajem lokali mieszkalnych i użytkowych</t>
  </si>
  <si>
    <t>3. wpływy z różnych dochodów,odsetek i z tyt.opłat za licencje</t>
  </si>
  <si>
    <t xml:space="preserve">    wpisu do ewidencji działalności gospodarczej) </t>
  </si>
  <si>
    <t>z przeznaczeniem na dofinansowanie pracodawcom</t>
  </si>
  <si>
    <t>kosztów przygotowania zawodowego młodocianych pracowników</t>
  </si>
  <si>
    <t>8.dotacja z przeznaczeniem na posiłek dla potrzebujących</t>
  </si>
  <si>
    <t xml:space="preserve">7.dotacja z przeznaczeniem na prowadzenie specjalistycznych </t>
  </si>
  <si>
    <t xml:space="preserve">9.wpływy z różnych dochodów i odsetek </t>
  </si>
  <si>
    <t>z czego przypada na:</t>
  </si>
  <si>
    <t>dochody bieżące</t>
  </si>
  <si>
    <t>dochody majątkowe</t>
  </si>
  <si>
    <t>2/wpływy z usług(odpłatność za obiady)</t>
  </si>
  <si>
    <t>1.gospodarka gruntami i nieruchomościami</t>
  </si>
  <si>
    <t>2.odszkodowania z tytułu:</t>
  </si>
  <si>
    <t xml:space="preserve">  Celowy Związek Gmin R-XXI</t>
  </si>
  <si>
    <t>1.wpłata na rzecz funduszu celowego Policji z przeznaczeniem na</t>
  </si>
  <si>
    <t>3.odsetki od kredytu w rachunku bieżącym</t>
  </si>
  <si>
    <t xml:space="preserve">2.utrzymanie szkoły podstawowej nr 2 </t>
  </si>
  <si>
    <t>4.utrzymanie przedszkola</t>
  </si>
  <si>
    <t>6.dowożenie uczniów do szkół</t>
  </si>
  <si>
    <t>7.dokształcanie i doskonalenie nauczycieli</t>
  </si>
  <si>
    <t>8.stołówki szkolne</t>
  </si>
  <si>
    <t>6.opłaty za pobyt w domu pomocy społecznej</t>
  </si>
  <si>
    <t>4.dokształcanie i doskonalenie nauczycieli</t>
  </si>
  <si>
    <t>5.odpisy na zakładowy fundusz świadczeń socjalnych dla</t>
  </si>
  <si>
    <t xml:space="preserve">  służba wojskowa)</t>
  </si>
  <si>
    <t>z edukacją ekologiczną (materiały do zorganizowania</t>
  </si>
  <si>
    <t>konkursów ekologicznych w szkołach,nagrody itp.)</t>
  </si>
  <si>
    <t>wielkogabarytów, akcja sprzątanie świata itp.</t>
  </si>
  <si>
    <t>ustawy z dnia 13.09.1996 r. o utrzymaniu czystości</t>
  </si>
  <si>
    <t>i porządku w gminach</t>
  </si>
  <si>
    <t xml:space="preserve">   stadionu miejskiego</t>
  </si>
  <si>
    <t>3.podatek od nieruchomości od stadionu miejskiego będącego</t>
  </si>
  <si>
    <t>w administrowaniu Zakładu Ochrony Środowiska</t>
  </si>
  <si>
    <t xml:space="preserve">9.nagrody dla uczniów </t>
  </si>
  <si>
    <t>10.nagrody dla dyrektorów szkół oraz nagroda Burmistrza dla nauczycieli</t>
  </si>
  <si>
    <t xml:space="preserve">11.umowy o dzieło-komisja kwalifikacyjna na nauczyciela </t>
  </si>
  <si>
    <t xml:space="preserve">12.dofinansowanie pracodawcom kosztów przygotowania zawodowego </t>
  </si>
  <si>
    <t>13.odpisy na zakładowy fundusz świadczeń socjalnych dla</t>
  </si>
  <si>
    <t>plan</t>
  </si>
  <si>
    <t>i Miasta Świnoujście na utworzenie i funkcjonowanie</t>
  </si>
  <si>
    <t>Europejskiego Centrum Różnorodności Biologicznej</t>
  </si>
  <si>
    <t>Wolin-Uznam</t>
  </si>
  <si>
    <t xml:space="preserve"> a/ sprzedaży nieruchomości </t>
  </si>
  <si>
    <t>3/wpływy z usług (inne)</t>
  </si>
  <si>
    <t>4/ odsetki od środków na rachunkach bankowych</t>
  </si>
  <si>
    <t>5/ wpływy - przedszkole</t>
  </si>
  <si>
    <t xml:space="preserve">6/ dotacja celowa na realizację zadań własnych  </t>
  </si>
  <si>
    <t xml:space="preserve">   usług opiekuńczych dla osób z zaburzeniami psychicznymi</t>
  </si>
  <si>
    <t>DZIAŁALNOŚĆ USŁUGOWA</t>
  </si>
  <si>
    <t>1.utrzymanie kąpieliska strzeżonego</t>
  </si>
  <si>
    <t>2.utrzymanie Europejskiego Centrum Różnorodności Biologicznej</t>
  </si>
  <si>
    <t xml:space="preserve">   ( wyceny nieruchomości,ogłoszenia o przetargach i inne)</t>
  </si>
  <si>
    <t xml:space="preserve">  Związek Miast Bałtyckich</t>
  </si>
  <si>
    <t>1.aktualizacja rejestru wyborców</t>
  </si>
  <si>
    <t>5.utrzymanie Straży Miejskiej</t>
  </si>
  <si>
    <t>6.zakup wody na cele przeciwpożarowe</t>
  </si>
  <si>
    <t xml:space="preserve">     młodocianych pracowników</t>
  </si>
  <si>
    <t>3. dotacja z przeznaczeniem na dofinansowanie opieki nad dziećmi(TPD)</t>
  </si>
  <si>
    <t>1.utrzymanie sekcji sportowych</t>
  </si>
  <si>
    <t xml:space="preserve">2.stypendia sportowe </t>
  </si>
  <si>
    <t>Lubin</t>
  </si>
  <si>
    <t>1.przebudowa ul.Bohaterów Warszawy -Promenada</t>
  </si>
  <si>
    <t xml:space="preserve">   Gwiazd na odcinku od ul.Zdrojowej do przedłużenia ul.</t>
  </si>
  <si>
    <t xml:space="preserve">   Traugutta wraz z ulicami Zdrojową i Morską w Międzyzdrojach</t>
  </si>
  <si>
    <t>niepełnosprawnych</t>
  </si>
  <si>
    <t>tablicami edukacyjnymi na długości promenady</t>
  </si>
  <si>
    <t>promenady nadmorskiej</t>
  </si>
  <si>
    <t>na budowę budynku mieszkalnego "dokończenie budowy</t>
  </si>
  <si>
    <t>istniejącego budynku w trakcie budowy oraz dobudowa segmentu</t>
  </si>
  <si>
    <t>mieszkalnego przy ul.M.C.Skłodowskiej"</t>
  </si>
  <si>
    <t>Orlik 2012" w m. Wapnica-SP nr 2</t>
  </si>
  <si>
    <t xml:space="preserve">   sportowej przy gimnazjum w Międzyzdrojach</t>
  </si>
  <si>
    <t>P r z y c h o d y   ogólem wynoszą</t>
  </si>
  <si>
    <t>Opis  realizacji planów finansowych funduszu celowego i zakładów budżetowych.</t>
  </si>
  <si>
    <t>Wydatki   ogółem wynoszą</t>
  </si>
  <si>
    <t>2/wynagrodzenia bezosobowe</t>
  </si>
  <si>
    <t>dezynfekcja,wywóz odpadów na wysypisko,obsługa</t>
  </si>
  <si>
    <t>3/ zakup materiałów,paliwa,części zamiennych,</t>
  </si>
  <si>
    <t>4/ zakup energii</t>
  </si>
  <si>
    <t>5/ zakup usług: prowizje bankowe,ścieki,deratyzacja,</t>
  </si>
  <si>
    <t>7/ podatek VAT</t>
  </si>
  <si>
    <t>8/wpłaty na PFRON</t>
  </si>
  <si>
    <t>9/odpis na ZFŚS</t>
  </si>
  <si>
    <t>13/ubezpieczenia</t>
  </si>
  <si>
    <t>14/usługi telefonii stacjonarnej i komórkowej</t>
  </si>
  <si>
    <t>13/ obsługa rachunku bankowego</t>
  </si>
  <si>
    <t xml:space="preserve">racjonalna godpodarka odpadami i selektywna ich zbiórka </t>
  </si>
  <si>
    <t>2/ zakup pojemników do selektywnej zbiórki odpadów</t>
  </si>
  <si>
    <t>3/ zakup pomocy naukowych i dydaktycznych związanych</t>
  </si>
  <si>
    <t>5/ realizacja zadania o którym mowa w art.6 ust.6</t>
  </si>
  <si>
    <t>6/ ochrona zwierząt ,nieprzewidziane zdarzenia losowe i ogłoszenia</t>
  </si>
  <si>
    <t>7/ utrzymanie terenów zielonych</t>
  </si>
  <si>
    <t>8/ konserwacja rowów melioracyjnych</t>
  </si>
  <si>
    <t>9/ likwidacja dzikich wysypisk, porzucanych</t>
  </si>
  <si>
    <t>11/usuwanie wyrobów zawierających azbest</t>
  </si>
  <si>
    <t>12/ogłoszenia,broszury informacyjne</t>
  </si>
  <si>
    <t>4/ opinie dotyczące drzewostanu,ekspertyzy</t>
  </si>
  <si>
    <t>7.dodatki mieszkaniowe</t>
  </si>
  <si>
    <t>10.świadczenia społeczne-posiłek dla potrzebujących</t>
  </si>
  <si>
    <t>11.świadczenia za prace społecznie-użyteczne</t>
  </si>
  <si>
    <t>12.dotacja na pokrycie kosztów usług opiekuńczych  dla osób</t>
  </si>
  <si>
    <t>2.dotacja dla  Miejskiej Biblioteki Publicznej</t>
  </si>
  <si>
    <t>1.rozbudowa hali sportowej przy szkole podstawowej</t>
  </si>
  <si>
    <t xml:space="preserve"> z przygotowaniem wniosku o dofinasowanie inwestycji</t>
  </si>
  <si>
    <t>2.remont kuchni w szkole nr 1</t>
  </si>
  <si>
    <t>2/odsetki</t>
  </si>
  <si>
    <t>1/dotacja-wspieranie realizacji zadań w zakresie edukacji ekologicznej -</t>
  </si>
  <si>
    <t>15/podróże służbowe</t>
  </si>
  <si>
    <t>Objaśnienia do budżetu Gminy Międzyzdroje na rok 2009</t>
  </si>
  <si>
    <t>struktura</t>
  </si>
  <si>
    <t>Do opracowania budżetu na rok 2009 przyjęto następujące dane i założenia:</t>
  </si>
  <si>
    <t>1.przewidywane wykonanie budżetu za 2008 r.,</t>
  </si>
  <si>
    <t>2.wpływy z tytułu podatku od nieruchomości - stawki pozostawiono bez zmian,</t>
  </si>
  <si>
    <t>3.wskaźnik inflacji założono w wysokości 2,9%,</t>
  </si>
  <si>
    <t>4.przewiduje się wzrost wynagrodzeń osobowych pracowników w 2009 roku o 3,9%,</t>
  </si>
  <si>
    <t>5.dotacje celowe na realizację zadań z zakresu administracji rządowej zaplanowano wg pisma Wojewody</t>
  </si>
  <si>
    <t>Zachodniopomorskiego Nr FB.1-JP-3010/24/2008 z dnia 23.10.2008 r.,pisma Krajowego Biura Wyborczego</t>
  </si>
  <si>
    <t>Nr DSZ-3101-43/08 z dnia 6.10.2008 r.</t>
  </si>
  <si>
    <t>6.na podstawie pisma Ministra Finansów Nr ST3-4820/21/08 z dnia 10.10.2008 r.zaplanowano</t>
  </si>
  <si>
    <t xml:space="preserve">subwencję ogólną (w tym:część oświatowa i równoważąca), udziały w podatku dochodowym </t>
  </si>
  <si>
    <t>od osób fizycznych oraz roczną kwotę wpłaty do budżetu państwa.</t>
  </si>
  <si>
    <t>a/ wydatki bieżące</t>
  </si>
  <si>
    <t>b/wydatki inwestycyjne</t>
  </si>
  <si>
    <t>c/spłatę kredytu</t>
  </si>
  <si>
    <t>A.Budżet po stronie dochodów wynosi</t>
  </si>
  <si>
    <t>B.Budżet po stronie wydatków wynosi</t>
  </si>
  <si>
    <t>C.Wynik (A-B) deficyt budżetu wynosi</t>
  </si>
  <si>
    <t>D.Finansowanie (D1-D2)</t>
  </si>
  <si>
    <t>D1. Przychody ogółem wynoszą:</t>
  </si>
  <si>
    <t xml:space="preserve">    D1.2.Pożyczki</t>
  </si>
  <si>
    <t xml:space="preserve">    D1.3. Spłaty pożyczek udzielonych</t>
  </si>
  <si>
    <t xml:space="preserve">    D1.4. Wolne środki </t>
  </si>
  <si>
    <t>D2. Rozchody ogółem wynoszą:</t>
  </si>
  <si>
    <t xml:space="preserve">    D2.3. Udzielenie pożyczki (ZOŚ)</t>
  </si>
  <si>
    <t>1.opłata przyłączeniowa do sieci gazowej Zalesie-Wicko-Wapnica-</t>
  </si>
  <si>
    <t>2.opracowanie koncepcji informatyzacji sołectw Zalesie,Lubin,</t>
  </si>
  <si>
    <t>Wicko,Wapnica w szczególności pod kątem sposobów</t>
  </si>
  <si>
    <t xml:space="preserve">zapewnienia stałego szerokopasmowego dostępu do sieci internet </t>
  </si>
  <si>
    <t>dla wszystkich zainteresowanych mieszkańców sołectw</t>
  </si>
  <si>
    <t>drogowego w ul.Mickiewicza i Rybackiej w Międzyzdrojach</t>
  </si>
  <si>
    <t>na odcinku od skrzyżowania z ul.Wodziczki dio skrzyżowania</t>
  </si>
  <si>
    <t>z drogą powiatową</t>
  </si>
  <si>
    <t xml:space="preserve">    Plac Neptuna</t>
  </si>
  <si>
    <t xml:space="preserve">    ul.Komunalnej</t>
  </si>
  <si>
    <t xml:space="preserve">2.budowa trzech zejść na plażę przystosowanych dla osób </t>
  </si>
  <si>
    <t>3.budowa kładki na koronie wydmy z miejscami wypoczynkowymi,</t>
  </si>
  <si>
    <t>4.budowa ścieżki rowerowej wdłuż projektowanego ciągu</t>
  </si>
  <si>
    <t>5.przebudowa ul.Kolejowej i remont ul.Norwida</t>
  </si>
  <si>
    <t>6.przebudowa ul.Orlej</t>
  </si>
  <si>
    <t>7.remont drogi w ul.Podgórnej w m.Wicko</t>
  </si>
  <si>
    <t>8.zagospodarowanie terenu wraz z remontem ciągów pieszych-</t>
  </si>
  <si>
    <t>10.projekt budowlano-wykonawczy na budowę oświetlenia</t>
  </si>
  <si>
    <t>11.remont drogi w ul.Piaskowej</t>
  </si>
  <si>
    <t xml:space="preserve">12.remont i zmiana organizacji ruchu w ciągu ul.Niepodległości </t>
  </si>
  <si>
    <t>13.zagospodarowanie terenu wraz z remontem ciągów pieszych-</t>
  </si>
  <si>
    <t>14.remont drogi w ul.Orzeszkowej</t>
  </si>
  <si>
    <t>15.budowa drogi w ul.Nowomyśliwskiej</t>
  </si>
  <si>
    <t>16.opłata za przyłączenie do sieci energetycznej-parking przy</t>
  </si>
  <si>
    <t>17.zakup wiat przystankowych</t>
  </si>
  <si>
    <t xml:space="preserve">1.budowa infrastruktury portu jachtowego w Wapnicy </t>
  </si>
  <si>
    <t>oraz modernizacja publicznego miejsca postojowego</t>
  </si>
  <si>
    <t>w Zalesiu Gmina Międzyzdroje</t>
  </si>
  <si>
    <t>1.remont mieszkań komunalnych-MTBS</t>
  </si>
  <si>
    <t>2.aktualizacja projektu budowlanego i opracowanie projektu</t>
  </si>
  <si>
    <t>3.opłata za przyłączenie do sieci energetycznej budynku</t>
  </si>
  <si>
    <t>mieszkalnego przy ul.Ludowej 2 w Międzyzdrojach</t>
  </si>
  <si>
    <t>1.remont budynku urzędu(ocieplenie i elewacja,remont schodów</t>
  </si>
  <si>
    <t>przy USC,montaż drzwi wejścowych,wykonanie izolacji fundamentów</t>
  </si>
  <si>
    <t>oraz nadzór inwestorski)</t>
  </si>
  <si>
    <t>2.zakup i montaż klimatyzacji-serwerownia</t>
  </si>
  <si>
    <t>3.zakup komputerów</t>
  </si>
  <si>
    <t>4.zakup systemu archiwizującego(urządzenie wraz z oprogramowaniem)</t>
  </si>
  <si>
    <t>1.projekt rozbudowy remizy OSP w Lubinie</t>
  </si>
  <si>
    <t>2.zakup sprzętu hydraulicznego</t>
  </si>
  <si>
    <t>3.zakup używanego pojazdu gaśniczego</t>
  </si>
  <si>
    <t>4.zakup namiotu halowego</t>
  </si>
  <si>
    <t>5.zakup samochodu dla Straży Miejskiej</t>
  </si>
  <si>
    <t>6.zakup fotoradaru</t>
  </si>
  <si>
    <t>7.wykonanie monitoringu miasta Międzyzdroje</t>
  </si>
  <si>
    <t>3.remont toalet na piętrze-szkoła nr 1</t>
  </si>
  <si>
    <t>4.wymiana dwóch wind-przedszkole</t>
  </si>
  <si>
    <t>5.wymiana płyt chodnikowych-przedszkole</t>
  </si>
  <si>
    <t>6.adaptacja sali po kotłowni na salę ćwiczeń korekcyjnych</t>
  </si>
  <si>
    <t>7.dokumentacja kosztorysowa na przebudowę klatki schodowej-</t>
  </si>
  <si>
    <t xml:space="preserve">   gimnazjum</t>
  </si>
  <si>
    <t>8.wykonanie bieżni 3-torowej i skoczni do skoku w dal-boisko</t>
  </si>
  <si>
    <t>górne (gimnazjum)</t>
  </si>
  <si>
    <t>9.wykonanie monitoringu boiska górnego-gimnazjum</t>
  </si>
  <si>
    <t>10.wymiana instalacji wod.-kan.,posadzki i WC w kuchni-gimnazjum</t>
  </si>
  <si>
    <t>11.przebudowa klatki schodowej w budynku sali gimnastycznej-gimnazjum</t>
  </si>
  <si>
    <t>12.zakup rzutnika mulimedialnego- 5 000 zł oraz zakup pracowni</t>
  </si>
  <si>
    <t xml:space="preserve">    językowej-17 000 zł (gimnazjum)</t>
  </si>
  <si>
    <t xml:space="preserve"> Inżyniera Kontraktu </t>
  </si>
  <si>
    <t>13.inwestycja sportowa w ramach programu "Moje boisko</t>
  </si>
  <si>
    <t>14.opracowanie projektu budowlanego na budowę hali</t>
  </si>
  <si>
    <t>15.remont boiska przy szkole nr 1</t>
  </si>
  <si>
    <t>OCHRONA ZDROWIA</t>
  </si>
  <si>
    <t>1.dotacja dla Międzynarodowego Domu Kultury z przeznaczeniem</t>
  </si>
  <si>
    <t>na remont świetlicy socjoterapeutycznej w budynku Wiklina w Wapnicy</t>
  </si>
  <si>
    <t>Zakładu Ochrony Środowiska</t>
  </si>
  <si>
    <t>2.modernizacja Parku Zdrojowego wraz z modernizacją placu zabaw</t>
  </si>
  <si>
    <t>3.budowa oświetlenia w ul.Wodziczki i Nowomyśliwskiej</t>
  </si>
  <si>
    <t>w Międzyzdrojach wraz z opłatą przyłączeniową</t>
  </si>
  <si>
    <t>na zakup zestawu transportowego składającego się z ciągnika</t>
  </si>
  <si>
    <t>siodłowego oraz naczepy samochodowej o specjalnej konstrukcji</t>
  </si>
  <si>
    <t>z płytą prasującą</t>
  </si>
  <si>
    <t xml:space="preserve">5.dotacja celowa dla Związku Gmin Wyspy Wolin z przeznaczeniem </t>
  </si>
  <si>
    <t>6.wniesienie wkładu do Spółki powstałej po przekształceniu</t>
  </si>
  <si>
    <t>7.rozbudowa sieci wod.-kan.w ul.Bałtyckiej</t>
  </si>
  <si>
    <t>8.opracowanie projektu budowlanego na rozbudowę kanalizacji</t>
  </si>
  <si>
    <t>sanitarnej w ul.Niepodległości</t>
  </si>
  <si>
    <t>9.modernizacja mechanicznej części oczyszczalni ścieków</t>
  </si>
  <si>
    <t>sanitarnych w Międzyzdrojach</t>
  </si>
  <si>
    <t xml:space="preserve">10.dotacja celowa dla Gminy Golczewo z przeznaczeniem </t>
  </si>
  <si>
    <t>partycypacja w kosztach)</t>
  </si>
  <si>
    <t>2.dotacja celowa dla Międzynarodowgo Domu Kultury z przeznaczeniem</t>
  </si>
  <si>
    <t>na opracowanie projektu i prace przygotowawcze do remontu i rozbudowy</t>
  </si>
  <si>
    <t xml:space="preserve">budynku Wikliny w m.Wapnica </t>
  </si>
  <si>
    <t xml:space="preserve">3.opracowanie projektu na budowę biblioteki </t>
  </si>
  <si>
    <t>1.zakup i montaż lodowiska przy ul.Bohaterów Warszawy-Amfiteatr</t>
  </si>
  <si>
    <t xml:space="preserve">Stan środków obrotowych na początek </t>
  </si>
  <si>
    <t>Stan środków obrotowych na koniec roku</t>
  </si>
  <si>
    <t xml:space="preserve">Stan środków obrotowych na początek  </t>
  </si>
  <si>
    <t xml:space="preserve">2/dotacja przedmiotowa z budżetu z przeznaczeniem na </t>
  </si>
  <si>
    <t xml:space="preserve">4/dotacja celowa na zakup zestawu transportowego </t>
  </si>
  <si>
    <t xml:space="preserve">   wysypiska , itp.</t>
  </si>
  <si>
    <t>1/ wynagrodzenia i składki ZUS pracowników</t>
  </si>
  <si>
    <t>prawna,usługi informatyczne,monitoring i inne</t>
  </si>
  <si>
    <t>6/ podatek od nieruchomości i podatek leśny</t>
  </si>
  <si>
    <t>10/ zakup usług remontowych(remonty samochodów)</t>
  </si>
  <si>
    <t>11/zakup usług zdrowotnych</t>
  </si>
  <si>
    <t>12/zakup usług dostępu do sieci internetowej</t>
  </si>
  <si>
    <t>16/pozostałe podatki i opłaty na rzecz budżetów JST</t>
  </si>
  <si>
    <t>17/zakup materiałów papierniczych</t>
  </si>
  <si>
    <t>18/zakup akcesoriów komputerowych</t>
  </si>
  <si>
    <t>19/wydatki na zakupy inwestycyjne w tym zakup zestawu</t>
  </si>
  <si>
    <t xml:space="preserve">transportowego </t>
  </si>
  <si>
    <t>2 załączniki</t>
  </si>
  <si>
    <t>majątkowych na kwotę 32 803 547,99 zł oraz z zaciągniętej pożyczki 2 527 784 zł.</t>
  </si>
  <si>
    <t>9.wydatki inwestycyjne planuje się na kwotę 35 331 331,99 zł i zamierza się sfinansować z dochodów</t>
  </si>
  <si>
    <t>8.wydatki bieżące w wysokości 31 650 174,60 zł planuje się sfinansować z dochodów bieżących</t>
  </si>
  <si>
    <t>w wysokości 21 828 491,81 zł i z dochodów majątkowych w wysokości 9 821 682,79 zł.</t>
  </si>
  <si>
    <t>7.ustala się spłatę raty kredytu w wysokości 705 600 zł, którą zamierza się sfinansować z :</t>
  </si>
  <si>
    <t xml:space="preserve">   c/ zwrot bonifikat</t>
  </si>
  <si>
    <t xml:space="preserve">   d/ sprzedaż gruntu</t>
  </si>
  <si>
    <t xml:space="preserve">   e/ sprzedaż lokali użytkowych</t>
  </si>
  <si>
    <t xml:space="preserve">      działka nr 439 o pow.22 880 m2</t>
  </si>
  <si>
    <t xml:space="preserve">    1/nieruchomość niezabudowana tzw.Kawcza Góra,</t>
  </si>
  <si>
    <t xml:space="preserve">   3/nieruchomość zabudowana  położona w Lubinie przy ul.Głównej 9-10,</t>
  </si>
  <si>
    <t xml:space="preserve">       ul.Nowomyśliwskiej, działka nr 487/25 o pow. 3 691 m2,</t>
  </si>
  <si>
    <t xml:space="preserve">   4/ nieruchomość niezabudowana położona w Międzyzdrojach przy </t>
  </si>
  <si>
    <t xml:space="preserve">      przy ul.Dąbrówki 13, działka nr 4/1 o pow.1 521 m2,</t>
  </si>
  <si>
    <t xml:space="preserve">    5/nieruchomość zabudowana położona w Międzyzdrojach przy</t>
  </si>
  <si>
    <t xml:space="preserve">      ul.Zwycięstwa 2A działka nr 595 o pow.461 m2,</t>
  </si>
  <si>
    <t xml:space="preserve">    6/nieruchomość niezabudowana położona w Międzyzdrojach przy</t>
  </si>
  <si>
    <t xml:space="preserve">      ul.Wesołej 4, działka nr 11/9 o pow.584 m2</t>
  </si>
  <si>
    <t xml:space="preserve">    7/ nieruchomość zabudowana, położona w Międzyzdrojach przy</t>
  </si>
  <si>
    <t xml:space="preserve">     ul.Zwycięstwa 50A, działka nr 17 o pow.362 m2.</t>
  </si>
  <si>
    <t xml:space="preserve">     8/ nieruchomość zabudowana położona w Międzyzdrojach przy </t>
  </si>
  <si>
    <t xml:space="preserve">  budowie hali targowej na nieruchomościach oznaczonych </t>
  </si>
  <si>
    <t xml:space="preserve">  w ewidencji gruntów nr 70/23 i 70/27 obręb 20, położonych</t>
  </si>
  <si>
    <t xml:space="preserve">  przy ul.Bohaterów Warszawy w Międzyzdrojach z przyłączami</t>
  </si>
  <si>
    <t>Nie przewiduje się nadwyżki środków obrotowych</t>
  </si>
  <si>
    <t>1/wpływy z różnych opłat (odpisy na rzecz GFOŚ-50 000,-</t>
  </si>
  <si>
    <t xml:space="preserve">opłaty wnoszone przez właścicieli nieruchomości za </t>
  </si>
  <si>
    <t>wykonywane przez gminę przejętych od nich obowiązków-15 000,-)</t>
  </si>
  <si>
    <t>10/ zbiórka odpadów niebezpiecznych, eksploatacja GPZON</t>
  </si>
  <si>
    <t>14/dotacja  z przeznaczeniem na wykonanie przyłączy kanalizacyjnych</t>
  </si>
  <si>
    <t xml:space="preserve">do gospodarstw domowych </t>
  </si>
  <si>
    <t xml:space="preserve">5.utrzymanie gimnazjum ( w tym: utrzymanie </t>
  </si>
  <si>
    <t xml:space="preserve">   GIMSPORT - 13.500 zł)</t>
  </si>
  <si>
    <t>10.dochody majątkowe na kwotę 42 687 665,06 zł przeznacza się na:</t>
  </si>
  <si>
    <t>a/ wolnych środków na rachunku gminy w wysokości 643 165,72 zł</t>
  </si>
  <si>
    <t>b/ dochodów majątkowych w wysokości 62 434,28 zł,</t>
  </si>
  <si>
    <t xml:space="preserve">   dofinansowanie kosztów związanych z utrzymaniem</t>
  </si>
  <si>
    <t xml:space="preserve">   dofinansowanie kosztów związanych z utrzymaniem </t>
  </si>
  <si>
    <t xml:space="preserve">   cmentarza</t>
  </si>
  <si>
    <t xml:space="preserve">   składającego się z ciągnika siodłowego oraz naczepy</t>
  </si>
  <si>
    <t xml:space="preserve">   samochodowej o specjelnej konstrukcji z płytą prasującą</t>
  </si>
  <si>
    <t xml:space="preserve">  oraz likwidacja zanieczyszczeń wód gruntowych</t>
  </si>
  <si>
    <t>9.opracowanie dokumentacji technicznej dla inwestycji polegającej na</t>
  </si>
  <si>
    <t>na budowę schroniska dla zwierząt w Sosnowicach (II etap-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</si>
</sst>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1"/>
      <name val="Arial CE"/>
      <family val="0"/>
    </font>
    <font>
      <b/>
      <i/>
      <sz val="11"/>
      <name val="Arial CE"/>
      <family val="0"/>
    </font>
    <font>
      <sz val="9"/>
      <name val="Arial CE"/>
      <family val="0"/>
    </font>
    <font>
      <b/>
      <sz val="9"/>
      <name val="Arial CE"/>
      <family val="2"/>
    </font>
    <font>
      <sz val="11"/>
      <name val="Arial CE"/>
      <family val="2"/>
    </font>
    <font>
      <b/>
      <i/>
      <sz val="12"/>
      <name val="Arial CE"/>
      <family val="2"/>
    </font>
    <font>
      <sz val="12"/>
      <name val="Arial CE"/>
      <family val="2"/>
    </font>
    <font>
      <sz val="8"/>
      <name val="Arial CE"/>
      <family val="0"/>
    </font>
    <font>
      <b/>
      <i/>
      <sz val="8"/>
      <name val="Arial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4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1" xfId="0" applyNumberFormat="1" applyFont="1" applyBorder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3" fontId="0" fillId="0" borderId="0" xfId="0" applyNumberFormat="1" applyAlignment="1">
      <alignment horizontal="centerContinuous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3" fontId="0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3" fontId="10" fillId="0" borderId="0" xfId="0" applyNumberFormat="1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3" fontId="1" fillId="0" borderId="0" xfId="0" applyNumberFormat="1" applyFont="1" applyAlignment="1">
      <alignment horizontal="centerContinuous"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4" fontId="0" fillId="0" borderId="0" xfId="0" applyNumberFormat="1" applyFont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10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3" fontId="11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4" fontId="3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4" fontId="4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4" fontId="0" fillId="0" borderId="0" xfId="0" applyNumberFormat="1" applyFont="1" applyAlignment="1">
      <alignment horizontal="left"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1" fillId="0" borderId="0" xfId="0" applyNumberFormat="1" applyFont="1" applyAlignment="1">
      <alignment horizontal="center"/>
    </xf>
    <xf numFmtId="3" fontId="12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 horizontal="left"/>
    </xf>
    <xf numFmtId="3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4" fontId="11" fillId="0" borderId="0" xfId="0" applyNumberFormat="1" applyFont="1" applyAlignment="1">
      <alignment/>
    </xf>
    <xf numFmtId="4" fontId="11" fillId="0" borderId="0" xfId="0" applyNumberFormat="1" applyFont="1" applyAlignment="1">
      <alignment horizontal="right"/>
    </xf>
    <xf numFmtId="10" fontId="0" fillId="0" borderId="0" xfId="0" applyNumberFormat="1" applyFont="1" applyAlignment="1">
      <alignment/>
    </xf>
    <xf numFmtId="10" fontId="0" fillId="0" borderId="0" xfId="0" applyNumberFormat="1" applyFont="1" applyAlignment="1">
      <alignment horizontal="left"/>
    </xf>
    <xf numFmtId="10" fontId="0" fillId="0" borderId="0" xfId="0" applyNumberFormat="1" applyFont="1" applyBorder="1" applyAlignment="1">
      <alignment/>
    </xf>
    <xf numFmtId="10" fontId="2" fillId="0" borderId="0" xfId="0" applyNumberFormat="1" applyFont="1" applyAlignment="1">
      <alignment/>
    </xf>
    <xf numFmtId="10" fontId="1" fillId="0" borderId="0" xfId="0" applyNumberFormat="1" applyFont="1" applyAlignment="1">
      <alignment/>
    </xf>
    <xf numFmtId="0" fontId="8" fillId="0" borderId="0" xfId="0" applyFont="1" applyAlignment="1">
      <alignment/>
    </xf>
    <xf numFmtId="10" fontId="1" fillId="0" borderId="0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10" fontId="1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651"/>
  <sheetViews>
    <sheetView showGridLines="0" tabSelected="1" workbookViewId="0" topLeftCell="A514">
      <selection activeCell="B546" sqref="B546"/>
    </sheetView>
  </sheetViews>
  <sheetFormatPr defaultColWidth="9.00390625" defaultRowHeight="12.75"/>
  <cols>
    <col min="1" max="1" width="9.375" style="0" customWidth="1"/>
    <col min="2" max="2" width="13.75390625" style="0" customWidth="1"/>
    <col min="3" max="3" width="12.125" style="0" customWidth="1"/>
    <col min="4" max="4" width="11.75390625" style="4" customWidth="1"/>
    <col min="5" max="5" width="12.375" style="4" customWidth="1"/>
    <col min="6" max="6" width="14.625" style="0" customWidth="1"/>
    <col min="7" max="7" width="2.25390625" style="0" customWidth="1"/>
    <col min="8" max="8" width="13.875" style="4" customWidth="1"/>
    <col min="9" max="9" width="11.375" style="66" customWidth="1"/>
    <col min="10" max="10" width="13.125" style="0" bestFit="1" customWidth="1"/>
    <col min="11" max="11" width="11.75390625" style="0" bestFit="1" customWidth="1"/>
  </cols>
  <sheetData>
    <row r="3" spans="1:8" ht="15">
      <c r="A3" s="48" t="s">
        <v>372</v>
      </c>
      <c r="B3" s="48"/>
      <c r="C3" s="48"/>
      <c r="D3" s="48"/>
      <c r="E3" s="48"/>
      <c r="F3" s="48"/>
      <c r="G3" s="48"/>
      <c r="H3" s="48"/>
    </row>
    <row r="4" spans="1:8" ht="15">
      <c r="A4" s="13"/>
      <c r="B4" s="14"/>
      <c r="C4" s="14"/>
      <c r="D4" s="15"/>
      <c r="E4" s="15"/>
      <c r="F4" s="14"/>
      <c r="G4" s="14"/>
      <c r="H4" s="27"/>
    </row>
    <row r="5" spans="1:9" s="60" customFormat="1" ht="14.25">
      <c r="A5" s="59" t="s">
        <v>374</v>
      </c>
      <c r="D5" s="61"/>
      <c r="E5" s="61"/>
      <c r="H5" s="61"/>
      <c r="I5" s="67"/>
    </row>
    <row r="6" spans="1:9" s="60" customFormat="1" ht="14.25">
      <c r="A6" s="59"/>
      <c r="D6" s="61"/>
      <c r="E6" s="61"/>
      <c r="H6" s="61"/>
      <c r="I6" s="67"/>
    </row>
    <row r="7" spans="1:9" s="60" customFormat="1" ht="14.25">
      <c r="A7" s="59" t="s">
        <v>375</v>
      </c>
      <c r="D7" s="61"/>
      <c r="E7" s="61"/>
      <c r="H7" s="61"/>
      <c r="I7" s="67"/>
    </row>
    <row r="8" spans="1:9" s="60" customFormat="1" ht="14.25">
      <c r="A8" s="59"/>
      <c r="D8" s="61"/>
      <c r="E8" s="61"/>
      <c r="H8" s="61"/>
      <c r="I8" s="67"/>
    </row>
    <row r="9" spans="1:9" s="60" customFormat="1" ht="14.25">
      <c r="A9" s="59" t="s">
        <v>376</v>
      </c>
      <c r="D9" s="61"/>
      <c r="E9" s="61"/>
      <c r="H9" s="61"/>
      <c r="I9" s="67"/>
    </row>
    <row r="10" spans="1:9" s="60" customFormat="1" ht="14.25">
      <c r="A10" s="59"/>
      <c r="D10" s="61"/>
      <c r="E10" s="61"/>
      <c r="H10" s="61"/>
      <c r="I10" s="67"/>
    </row>
    <row r="11" spans="1:9" s="60" customFormat="1" ht="14.25">
      <c r="A11" s="59" t="s">
        <v>377</v>
      </c>
      <c r="D11" s="61"/>
      <c r="E11" s="61"/>
      <c r="H11" s="61"/>
      <c r="I11" s="67"/>
    </row>
    <row r="12" spans="1:9" s="60" customFormat="1" ht="14.25">
      <c r="A12" s="59"/>
      <c r="D12" s="61"/>
      <c r="E12" s="61"/>
      <c r="H12" s="61"/>
      <c r="I12" s="67"/>
    </row>
    <row r="13" spans="1:9" s="60" customFormat="1" ht="14.25">
      <c r="A13" s="59" t="s">
        <v>378</v>
      </c>
      <c r="D13" s="61"/>
      <c r="E13" s="61"/>
      <c r="H13" s="61"/>
      <c r="I13" s="67"/>
    </row>
    <row r="14" spans="1:9" s="60" customFormat="1" ht="14.25">
      <c r="A14" s="59"/>
      <c r="D14" s="61"/>
      <c r="E14" s="61"/>
      <c r="H14" s="61"/>
      <c r="I14" s="67"/>
    </row>
    <row r="15" spans="1:9" s="60" customFormat="1" ht="14.25">
      <c r="A15" s="59" t="s">
        <v>379</v>
      </c>
      <c r="D15" s="61"/>
      <c r="E15" s="61"/>
      <c r="H15" s="61"/>
      <c r="I15" s="67"/>
    </row>
    <row r="16" spans="1:9" s="60" customFormat="1" ht="14.25">
      <c r="A16" s="59" t="s">
        <v>380</v>
      </c>
      <c r="D16" s="61"/>
      <c r="E16" s="61"/>
      <c r="H16" s="61"/>
      <c r="I16" s="67"/>
    </row>
    <row r="17" spans="1:9" s="60" customFormat="1" ht="14.25">
      <c r="A17" s="59" t="s">
        <v>381</v>
      </c>
      <c r="D17" s="61"/>
      <c r="E17" s="61"/>
      <c r="H17" s="61"/>
      <c r="I17" s="67"/>
    </row>
    <row r="18" spans="1:9" s="60" customFormat="1" ht="14.25">
      <c r="A18" s="59"/>
      <c r="D18" s="61"/>
      <c r="E18" s="61"/>
      <c r="H18" s="61"/>
      <c r="I18" s="67"/>
    </row>
    <row r="19" spans="1:9" s="60" customFormat="1" ht="14.25">
      <c r="A19" s="59" t="s">
        <v>382</v>
      </c>
      <c r="D19" s="61"/>
      <c r="E19" s="61"/>
      <c r="H19" s="61"/>
      <c r="I19" s="67"/>
    </row>
    <row r="20" spans="1:9" s="60" customFormat="1" ht="14.25">
      <c r="A20" s="59" t="s">
        <v>383</v>
      </c>
      <c r="D20" s="61"/>
      <c r="E20" s="61"/>
      <c r="H20" s="61"/>
      <c r="I20" s="67"/>
    </row>
    <row r="21" spans="1:9" s="60" customFormat="1" ht="14.25">
      <c r="A21" s="59" t="s">
        <v>384</v>
      </c>
      <c r="D21" s="61"/>
      <c r="E21" s="61"/>
      <c r="H21" s="61"/>
      <c r="I21" s="67"/>
    </row>
    <row r="22" spans="1:9" s="60" customFormat="1" ht="14.25">
      <c r="A22" s="59"/>
      <c r="D22" s="61"/>
      <c r="E22" s="61"/>
      <c r="H22" s="61"/>
      <c r="I22" s="67"/>
    </row>
    <row r="23" spans="1:9" s="60" customFormat="1" ht="14.25">
      <c r="A23" s="59" t="s">
        <v>506</v>
      </c>
      <c r="D23" s="61"/>
      <c r="E23" s="61"/>
      <c r="H23" s="61"/>
      <c r="I23" s="67"/>
    </row>
    <row r="24" spans="1:9" s="60" customFormat="1" ht="14.25">
      <c r="A24" s="59" t="s">
        <v>536</v>
      </c>
      <c r="D24" s="61"/>
      <c r="E24" s="61"/>
      <c r="H24" s="61"/>
      <c r="I24" s="67"/>
    </row>
    <row r="25" spans="1:9" s="60" customFormat="1" ht="14.25">
      <c r="A25" s="59" t="s">
        <v>537</v>
      </c>
      <c r="D25" s="61"/>
      <c r="E25" s="61"/>
      <c r="H25" s="61"/>
      <c r="I25" s="67"/>
    </row>
    <row r="26" spans="1:9" s="60" customFormat="1" ht="14.25">
      <c r="A26" s="59"/>
      <c r="D26" s="61"/>
      <c r="E26" s="61"/>
      <c r="H26" s="61"/>
      <c r="I26" s="67"/>
    </row>
    <row r="27" spans="1:9" s="60" customFormat="1" ht="14.25">
      <c r="A27" s="59" t="s">
        <v>504</v>
      </c>
      <c r="D27" s="61"/>
      <c r="E27" s="61"/>
      <c r="H27" s="61"/>
      <c r="I27" s="67"/>
    </row>
    <row r="28" spans="1:9" s="60" customFormat="1" ht="14.25">
      <c r="A28" s="59" t="s">
        <v>505</v>
      </c>
      <c r="D28" s="61"/>
      <c r="E28" s="61"/>
      <c r="H28" s="61"/>
      <c r="I28" s="67"/>
    </row>
    <row r="29" spans="1:9" s="60" customFormat="1" ht="14.25">
      <c r="A29" s="59"/>
      <c r="D29" s="61"/>
      <c r="E29" s="61"/>
      <c r="H29" s="61"/>
      <c r="I29" s="67"/>
    </row>
    <row r="30" spans="1:9" s="60" customFormat="1" ht="14.25">
      <c r="A30" s="59" t="s">
        <v>503</v>
      </c>
      <c r="D30" s="61"/>
      <c r="E30" s="61"/>
      <c r="H30" s="61"/>
      <c r="I30" s="67"/>
    </row>
    <row r="31" spans="1:9" s="60" customFormat="1" ht="14.25">
      <c r="A31" s="59" t="s">
        <v>502</v>
      </c>
      <c r="D31" s="61"/>
      <c r="E31" s="61"/>
      <c r="H31" s="61"/>
      <c r="I31" s="67"/>
    </row>
    <row r="33" ht="12.75">
      <c r="A33" t="s">
        <v>535</v>
      </c>
    </row>
    <row r="34" spans="1:8" ht="12.75">
      <c r="A34" t="s">
        <v>385</v>
      </c>
      <c r="F34" s="30"/>
      <c r="H34" s="30">
        <v>9821682.79</v>
      </c>
    </row>
    <row r="35" spans="1:8" ht="12.75">
      <c r="A35" t="s">
        <v>386</v>
      </c>
      <c r="F35" s="30"/>
      <c r="H35" s="30">
        <v>32803547.99</v>
      </c>
    </row>
    <row r="36" spans="1:9" ht="12.75">
      <c r="A36" t="s">
        <v>387</v>
      </c>
      <c r="F36" s="30"/>
      <c r="H36" s="30">
        <v>62434.28</v>
      </c>
      <c r="I36" s="77"/>
    </row>
    <row r="37" spans="6:8" ht="12.75">
      <c r="F37" s="30"/>
      <c r="H37" s="30"/>
    </row>
    <row r="38" spans="1:9" s="16" customFormat="1" ht="12.75">
      <c r="A38" s="17" t="s">
        <v>388</v>
      </c>
      <c r="B38" s="17"/>
      <c r="C38" s="17"/>
      <c r="D38" s="18"/>
      <c r="E38" s="18"/>
      <c r="F38" s="29"/>
      <c r="H38" s="29">
        <v>64516156.87</v>
      </c>
      <c r="I38" s="66"/>
    </row>
    <row r="39" spans="1:8" ht="12.75">
      <c r="A39" s="17" t="s">
        <v>389</v>
      </c>
      <c r="B39" s="17"/>
      <c r="C39" s="17"/>
      <c r="D39" s="18"/>
      <c r="E39" s="18"/>
      <c r="F39" s="29"/>
      <c r="H39" s="29">
        <v>66981506.59</v>
      </c>
    </row>
    <row r="40" spans="1:8" ht="12.75">
      <c r="A40" s="17" t="s">
        <v>390</v>
      </c>
      <c r="B40" s="17"/>
      <c r="C40" s="17"/>
      <c r="D40" s="18"/>
      <c r="E40" s="18"/>
      <c r="F40" s="29"/>
      <c r="H40" s="29">
        <f>H38-H39</f>
        <v>-2465349.7200000063</v>
      </c>
    </row>
    <row r="41" spans="1:8" ht="12.75">
      <c r="A41" s="17" t="s">
        <v>391</v>
      </c>
      <c r="B41" s="17"/>
      <c r="C41" s="17"/>
      <c r="D41" s="18"/>
      <c r="E41" s="18"/>
      <c r="F41" s="29"/>
      <c r="H41" s="29">
        <f>H42-H48</f>
        <v>2465349.7199999997</v>
      </c>
    </row>
    <row r="42" spans="1:9" s="17" customFormat="1" ht="12.75">
      <c r="A42" s="17" t="s">
        <v>392</v>
      </c>
      <c r="D42" s="18"/>
      <c r="E42" s="18"/>
      <c r="F42" s="29"/>
      <c r="H42" s="29">
        <f>SUM(H44:H47)</f>
        <v>3270949.7199999997</v>
      </c>
      <c r="I42" s="66"/>
    </row>
    <row r="43" spans="1:8" ht="12.75">
      <c r="A43" t="s">
        <v>182</v>
      </c>
      <c r="H43"/>
    </row>
    <row r="44" spans="1:8" ht="12.75">
      <c r="A44" t="s">
        <v>183</v>
      </c>
      <c r="F44" s="30"/>
      <c r="H44" s="30">
        <v>0</v>
      </c>
    </row>
    <row r="45" spans="1:8" ht="12.75">
      <c r="A45" t="s">
        <v>393</v>
      </c>
      <c r="F45" s="30"/>
      <c r="H45" s="30">
        <v>2527784</v>
      </c>
    </row>
    <row r="46" spans="1:8" ht="12.75">
      <c r="A46" t="s">
        <v>394</v>
      </c>
      <c r="F46" s="30"/>
      <c r="H46" s="30">
        <v>100000</v>
      </c>
    </row>
    <row r="47" spans="1:9" s="49" customFormat="1" ht="12.75">
      <c r="A47" s="49" t="s">
        <v>395</v>
      </c>
      <c r="D47" s="62"/>
      <c r="E47" s="62"/>
      <c r="F47" s="63"/>
      <c r="H47" s="63">
        <v>643165.72</v>
      </c>
      <c r="I47" s="68"/>
    </row>
    <row r="48" spans="1:9" s="17" customFormat="1" ht="12.75">
      <c r="A48" s="17" t="s">
        <v>396</v>
      </c>
      <c r="D48" s="18"/>
      <c r="E48" s="18"/>
      <c r="F48" s="29"/>
      <c r="H48" s="29">
        <f>SUM(H50:H52)</f>
        <v>805600</v>
      </c>
      <c r="I48" s="66"/>
    </row>
    <row r="49" spans="1:8" ht="12.75">
      <c r="A49" t="s">
        <v>182</v>
      </c>
      <c r="F49" s="30"/>
      <c r="H49" s="30"/>
    </row>
    <row r="50" spans="1:8" ht="12.75">
      <c r="A50" t="s">
        <v>184</v>
      </c>
      <c r="F50" s="30"/>
      <c r="H50" s="30">
        <v>705600</v>
      </c>
    </row>
    <row r="51" spans="1:8" ht="12.75">
      <c r="A51" t="s">
        <v>0</v>
      </c>
      <c r="F51" s="30"/>
      <c r="H51" s="30">
        <v>0</v>
      </c>
    </row>
    <row r="52" spans="1:9" s="49" customFormat="1" ht="12.75">
      <c r="A52" s="49" t="s">
        <v>397</v>
      </c>
      <c r="D52" s="62"/>
      <c r="E52" s="62"/>
      <c r="F52" s="63"/>
      <c r="H52" s="63">
        <v>100000</v>
      </c>
      <c r="I52" s="68"/>
    </row>
    <row r="53" ht="12.75">
      <c r="H53" s="30"/>
    </row>
    <row r="54" ht="12.75">
      <c r="H54" s="30"/>
    </row>
    <row r="55" ht="12.75">
      <c r="H55" s="30"/>
    </row>
    <row r="56" ht="12.75">
      <c r="H56" s="30"/>
    </row>
    <row r="57" ht="12.75">
      <c r="H57" s="30"/>
    </row>
    <row r="58" ht="12.75">
      <c r="H58" s="30"/>
    </row>
    <row r="59" ht="12.75">
      <c r="H59" s="30"/>
    </row>
    <row r="60" ht="12.75">
      <c r="H60" s="30"/>
    </row>
    <row r="61" ht="12.75">
      <c r="H61" s="30"/>
    </row>
    <row r="62" ht="12.75">
      <c r="H62" s="30"/>
    </row>
    <row r="63" spans="1:10" ht="14.25">
      <c r="A63" s="2" t="s">
        <v>92</v>
      </c>
      <c r="H63" s="8" t="s">
        <v>302</v>
      </c>
      <c r="I63" s="70" t="s">
        <v>373</v>
      </c>
      <c r="J63" s="17"/>
    </row>
    <row r="64" spans="1:8" ht="14.25">
      <c r="A64" s="2"/>
      <c r="H64" s="30"/>
    </row>
    <row r="65" spans="1:9" s="3" customFormat="1" ht="12.75">
      <c r="A65" s="3" t="s">
        <v>139</v>
      </c>
      <c r="B65" s="3" t="s">
        <v>140</v>
      </c>
      <c r="D65" s="8"/>
      <c r="E65" s="8"/>
      <c r="H65" s="28">
        <f>SUM(H67:H67)</f>
        <v>150000</v>
      </c>
      <c r="I65" s="70">
        <f>$H65/$H$232</f>
        <v>0.0023249989967978075</v>
      </c>
    </row>
    <row r="66" spans="2:9" s="3" customFormat="1" ht="12.75">
      <c r="B66" s="16" t="s">
        <v>1</v>
      </c>
      <c r="D66" s="8"/>
      <c r="E66" s="8"/>
      <c r="H66" s="28"/>
      <c r="I66" s="66"/>
    </row>
    <row r="67" spans="2:9" s="3" customFormat="1" ht="12.75">
      <c r="B67" t="s">
        <v>2</v>
      </c>
      <c r="D67" s="8"/>
      <c r="E67" s="8"/>
      <c r="H67" s="31">
        <v>150000</v>
      </c>
      <c r="I67" s="66">
        <f>$H67/$H$232</f>
        <v>0.0023249989967978075</v>
      </c>
    </row>
    <row r="68" spans="2:9" s="3" customFormat="1" ht="12.75">
      <c r="B68" s="6"/>
      <c r="D68" s="8"/>
      <c r="E68" s="8"/>
      <c r="H68" s="31"/>
      <c r="I68" s="66"/>
    </row>
    <row r="69" spans="1:9" s="3" customFormat="1" ht="12.75">
      <c r="A69" s="3" t="s">
        <v>119</v>
      </c>
      <c r="B69" s="3" t="s">
        <v>120</v>
      </c>
      <c r="D69" s="8"/>
      <c r="E69" s="8"/>
      <c r="H69" s="28">
        <f>H73</f>
        <v>125000</v>
      </c>
      <c r="I69" s="70">
        <f>$H69/$H$232</f>
        <v>0.001937499163998173</v>
      </c>
    </row>
    <row r="70" spans="2:9" s="3" customFormat="1" ht="12.75">
      <c r="B70" s="6" t="s">
        <v>3</v>
      </c>
      <c r="D70" s="8"/>
      <c r="E70" s="8"/>
      <c r="H70" s="31"/>
      <c r="I70" s="66"/>
    </row>
    <row r="71" spans="2:9" s="3" customFormat="1" ht="12.75">
      <c r="B71" s="6" t="s">
        <v>303</v>
      </c>
      <c r="D71" s="8"/>
      <c r="E71" s="8"/>
      <c r="H71" s="31"/>
      <c r="I71" s="66"/>
    </row>
    <row r="72" spans="2:9" s="3" customFormat="1" ht="12.75">
      <c r="B72" s="6" t="s">
        <v>304</v>
      </c>
      <c r="D72" s="8"/>
      <c r="E72" s="8"/>
      <c r="H72" s="31"/>
      <c r="I72" s="66"/>
    </row>
    <row r="73" spans="2:9" s="3" customFormat="1" ht="12.75">
      <c r="B73" s="6" t="s">
        <v>305</v>
      </c>
      <c r="D73" s="8"/>
      <c r="E73" s="8"/>
      <c r="H73" s="31">
        <v>125000</v>
      </c>
      <c r="I73" s="66">
        <f>$H73/$H$232</f>
        <v>0.001937499163998173</v>
      </c>
    </row>
    <row r="74" spans="2:9" s="3" customFormat="1" ht="12.75">
      <c r="B74" s="6"/>
      <c r="D74" s="8"/>
      <c r="E74" s="8"/>
      <c r="H74" s="31"/>
      <c r="I74" s="66"/>
    </row>
    <row r="75" spans="1:9" s="3" customFormat="1" ht="12.75">
      <c r="A75" s="3" t="s">
        <v>121</v>
      </c>
      <c r="B75" s="3" t="s">
        <v>122</v>
      </c>
      <c r="D75" s="8"/>
      <c r="E75" s="8"/>
      <c r="H75" s="33"/>
      <c r="I75" s="66"/>
    </row>
    <row r="76" spans="2:9" ht="12.75">
      <c r="B76" t="s">
        <v>4</v>
      </c>
      <c r="H76" s="33">
        <f>SUM(H78:H116)</f>
        <v>47246114.870000005</v>
      </c>
      <c r="I76" s="70">
        <f aca="true" t="shared" si="0" ref="I76:I87">$H76/$H$232</f>
        <v>0.7323144645022933</v>
      </c>
    </row>
    <row r="77" spans="2:8" ht="12.75">
      <c r="B77" t="s">
        <v>93</v>
      </c>
      <c r="H77" s="34"/>
    </row>
    <row r="78" spans="2:8" ht="12.75">
      <c r="B78" t="s">
        <v>174</v>
      </c>
      <c r="H78" s="34"/>
    </row>
    <row r="79" spans="2:9" ht="12.75">
      <c r="B79" t="s">
        <v>259</v>
      </c>
      <c r="H79" s="34">
        <v>2512044.81</v>
      </c>
      <c r="I79" s="66">
        <f t="shared" si="0"/>
        <v>0.038936677754407595</v>
      </c>
    </row>
    <row r="80" spans="2:8" ht="12.75">
      <c r="B80" t="s">
        <v>185</v>
      </c>
      <c r="H80" s="34"/>
    </row>
    <row r="81" spans="2:8" ht="12.75">
      <c r="B81" t="s">
        <v>123</v>
      </c>
      <c r="H81" s="34"/>
    </row>
    <row r="82" spans="2:9" ht="12.75">
      <c r="B82" t="s">
        <v>124</v>
      </c>
      <c r="H82" s="34">
        <v>1200000</v>
      </c>
      <c r="I82" s="66">
        <f t="shared" si="0"/>
        <v>0.01859999197438246</v>
      </c>
    </row>
    <row r="83" spans="2:8" ht="12.75">
      <c r="B83" t="s">
        <v>186</v>
      </c>
      <c r="H83" s="34"/>
    </row>
    <row r="84" spans="2:9" ht="12.75">
      <c r="B84" t="s">
        <v>216</v>
      </c>
      <c r="H84" s="36">
        <v>250000</v>
      </c>
      <c r="I84" s="66">
        <f t="shared" si="0"/>
        <v>0.003874998327996346</v>
      </c>
    </row>
    <row r="85" spans="2:8" ht="12.75">
      <c r="B85" t="s">
        <v>195</v>
      </c>
      <c r="H85" s="36"/>
    </row>
    <row r="86" spans="2:9" ht="12.75">
      <c r="B86" t="s">
        <v>196</v>
      </c>
      <c r="H86" s="36">
        <v>300000</v>
      </c>
      <c r="I86" s="66">
        <f t="shared" si="0"/>
        <v>0.004649997993595615</v>
      </c>
    </row>
    <row r="87" spans="2:9" ht="12.75">
      <c r="B87" t="s">
        <v>260</v>
      </c>
      <c r="H87" s="36">
        <f>SUM(F88:F113)</f>
        <v>42037665.06</v>
      </c>
      <c r="I87" s="66">
        <f t="shared" si="0"/>
        <v>0.6515835272814817</v>
      </c>
    </row>
    <row r="88" spans="2:8" ht="12.75">
      <c r="B88" t="s">
        <v>306</v>
      </c>
      <c r="F88" s="39">
        <v>41823165.06</v>
      </c>
      <c r="G88" s="4"/>
      <c r="H88" s="34"/>
    </row>
    <row r="89" spans="2:8" ht="12.75">
      <c r="B89" t="s">
        <v>5</v>
      </c>
      <c r="F89" s="39"/>
      <c r="G89" s="4"/>
      <c r="H89" s="34"/>
    </row>
    <row r="90" spans="2:8" ht="12.75">
      <c r="B90" t="s">
        <v>6</v>
      </c>
      <c r="F90" s="39"/>
      <c r="G90" s="4"/>
      <c r="H90" s="34"/>
    </row>
    <row r="91" spans="2:8" ht="12.75">
      <c r="B91" s="6" t="s">
        <v>511</v>
      </c>
      <c r="F91" s="39"/>
      <c r="G91" s="4"/>
      <c r="H91" s="34"/>
    </row>
    <row r="92" spans="2:8" ht="12.75">
      <c r="B92" s="6" t="s">
        <v>510</v>
      </c>
      <c r="F92" s="39"/>
      <c r="G92" s="4"/>
      <c r="H92" s="34"/>
    </row>
    <row r="93" spans="2:8" ht="12.75">
      <c r="B93" s="6" t="s">
        <v>7</v>
      </c>
      <c r="F93" s="39"/>
      <c r="G93" s="4"/>
      <c r="H93" s="34"/>
    </row>
    <row r="94" spans="2:8" ht="12.75">
      <c r="B94" s="6" t="s">
        <v>8</v>
      </c>
      <c r="F94" s="39"/>
      <c r="G94" s="4"/>
      <c r="H94" s="34"/>
    </row>
    <row r="95" spans="2:8" ht="12.75">
      <c r="B95" s="6" t="s">
        <v>9</v>
      </c>
      <c r="F95" s="39"/>
      <c r="G95" s="4"/>
      <c r="H95" s="34"/>
    </row>
    <row r="96" spans="2:8" ht="12.75">
      <c r="B96" s="6" t="s">
        <v>512</v>
      </c>
      <c r="F96" s="39"/>
      <c r="G96" s="4"/>
      <c r="H96" s="34"/>
    </row>
    <row r="97" spans="2:8" ht="12.75">
      <c r="B97" s="6" t="s">
        <v>10</v>
      </c>
      <c r="F97" s="39"/>
      <c r="G97" s="4"/>
      <c r="H97" s="34"/>
    </row>
    <row r="98" spans="2:8" ht="12.75">
      <c r="B98" s="6" t="s">
        <v>514</v>
      </c>
      <c r="F98" s="39"/>
      <c r="G98" s="4"/>
      <c r="H98" s="34"/>
    </row>
    <row r="99" spans="2:8" ht="12.75">
      <c r="B99" s="6" t="s">
        <v>513</v>
      </c>
      <c r="F99" s="39"/>
      <c r="G99" s="4"/>
      <c r="H99" s="34"/>
    </row>
    <row r="100" spans="2:8" ht="12.75">
      <c r="B100" s="6" t="s">
        <v>11</v>
      </c>
      <c r="F100" s="39"/>
      <c r="G100" s="4"/>
      <c r="H100" s="34"/>
    </row>
    <row r="101" spans="2:8" ht="12.75">
      <c r="B101" s="6" t="s">
        <v>12</v>
      </c>
      <c r="F101" s="39"/>
      <c r="G101" s="4"/>
      <c r="H101" s="34"/>
    </row>
    <row r="102" spans="2:8" ht="12.75">
      <c r="B102" s="6" t="s">
        <v>516</v>
      </c>
      <c r="F102" s="39"/>
      <c r="G102" s="4"/>
      <c r="H102" s="34"/>
    </row>
    <row r="103" spans="2:8" ht="12.75">
      <c r="B103" s="6" t="s">
        <v>515</v>
      </c>
      <c r="F103" s="39"/>
      <c r="G103" s="4"/>
      <c r="H103" s="34"/>
    </row>
    <row r="104" spans="2:8" ht="12.75">
      <c r="B104" s="6" t="s">
        <v>518</v>
      </c>
      <c r="F104" s="39"/>
      <c r="G104" s="4"/>
      <c r="H104" s="34"/>
    </row>
    <row r="105" spans="2:8" ht="12.75">
      <c r="B105" s="6" t="s">
        <v>517</v>
      </c>
      <c r="F105" s="39"/>
      <c r="G105" s="4"/>
      <c r="H105" s="34"/>
    </row>
    <row r="106" spans="2:8" ht="12.75">
      <c r="B106" s="6" t="s">
        <v>520</v>
      </c>
      <c r="F106" s="39"/>
      <c r="G106" s="4"/>
      <c r="H106" s="34"/>
    </row>
    <row r="107" spans="2:8" ht="12.75">
      <c r="B107" s="6" t="s">
        <v>519</v>
      </c>
      <c r="F107" s="39"/>
      <c r="G107" s="4"/>
      <c r="H107" s="34"/>
    </row>
    <row r="108" spans="2:8" ht="12.75">
      <c r="B108" t="s">
        <v>522</v>
      </c>
      <c r="F108" s="39"/>
      <c r="G108" s="4"/>
      <c r="H108" s="34"/>
    </row>
    <row r="109" spans="2:8" ht="12.75">
      <c r="B109" t="s">
        <v>521</v>
      </c>
      <c r="F109" s="39"/>
      <c r="G109" s="4"/>
      <c r="H109" s="34"/>
    </row>
    <row r="110" spans="2:8" ht="12.75">
      <c r="B110" t="s">
        <v>13</v>
      </c>
      <c r="F110" s="39">
        <v>80000</v>
      </c>
      <c r="G110" s="4"/>
      <c r="H110" s="34"/>
    </row>
    <row r="111" spans="2:8" ht="12.75">
      <c r="B111" t="s">
        <v>507</v>
      </c>
      <c r="F111" s="39">
        <v>20000</v>
      </c>
      <c r="G111" s="4"/>
      <c r="H111" s="34"/>
    </row>
    <row r="112" spans="2:8" ht="12.75">
      <c r="B112" t="s">
        <v>508</v>
      </c>
      <c r="F112" s="39">
        <v>106000</v>
      </c>
      <c r="G112" s="4"/>
      <c r="H112" s="34"/>
    </row>
    <row r="113" spans="2:8" ht="12.75">
      <c r="B113" t="s">
        <v>509</v>
      </c>
      <c r="F113" s="39">
        <v>8500</v>
      </c>
      <c r="G113" s="4"/>
      <c r="H113" s="34"/>
    </row>
    <row r="114" spans="2:9" ht="13.5" customHeight="1">
      <c r="B114" s="7" t="s">
        <v>261</v>
      </c>
      <c r="C114" s="7"/>
      <c r="H114" s="34">
        <f>40000+8700</f>
        <v>48700</v>
      </c>
      <c r="I114" s="66">
        <f aca="true" t="shared" si="1" ref="I114:I137">$H114/$H$232</f>
        <v>0.0007548496742936882</v>
      </c>
    </row>
    <row r="115" spans="2:9" ht="13.5" customHeight="1">
      <c r="B115" s="7" t="s">
        <v>262</v>
      </c>
      <c r="C115" s="7"/>
      <c r="H115" s="34">
        <v>14000</v>
      </c>
      <c r="I115" s="66">
        <f t="shared" si="1"/>
        <v>0.00021699990636779538</v>
      </c>
    </row>
    <row r="116" spans="2:9" ht="13.5" customHeight="1">
      <c r="B116" s="7" t="s">
        <v>263</v>
      </c>
      <c r="C116" s="7"/>
      <c r="H116" s="34">
        <v>883705</v>
      </c>
      <c r="I116" s="66">
        <f t="shared" si="1"/>
        <v>0.013697421589768045</v>
      </c>
    </row>
    <row r="117" spans="2:8" ht="13.5" customHeight="1">
      <c r="B117" s="7"/>
      <c r="C117" s="7"/>
      <c r="H117" s="34"/>
    </row>
    <row r="118" spans="1:9" s="3" customFormat="1" ht="13.5" customHeight="1">
      <c r="A118" s="3" t="s">
        <v>143</v>
      </c>
      <c r="B118" s="50" t="s">
        <v>312</v>
      </c>
      <c r="C118" s="50"/>
      <c r="D118" s="8"/>
      <c r="E118" s="8"/>
      <c r="H118" s="33">
        <f>H120</f>
        <v>2766</v>
      </c>
      <c r="I118" s="70">
        <f t="shared" si="1"/>
        <v>4.287298150095157E-05</v>
      </c>
    </row>
    <row r="119" spans="2:8" ht="13.5" customHeight="1">
      <c r="B119" s="7" t="s">
        <v>16</v>
      </c>
      <c r="C119" s="7"/>
      <c r="H119" s="34"/>
    </row>
    <row r="120" spans="2:9" ht="13.5" customHeight="1">
      <c r="B120" s="7" t="s">
        <v>15</v>
      </c>
      <c r="C120" s="7"/>
      <c r="H120" s="34">
        <v>2766</v>
      </c>
      <c r="I120" s="66">
        <f t="shared" si="1"/>
        <v>4.287298150095157E-05</v>
      </c>
    </row>
    <row r="121" spans="2:8" ht="12" customHeight="1">
      <c r="B121" s="7"/>
      <c r="C121" s="7"/>
      <c r="H121" s="34"/>
    </row>
    <row r="122" spans="1:9" s="3" customFormat="1" ht="12.75">
      <c r="A122" s="3" t="s">
        <v>125</v>
      </c>
      <c r="B122" s="3" t="s">
        <v>126</v>
      </c>
      <c r="D122" s="8"/>
      <c r="E122" s="8"/>
      <c r="H122" s="33"/>
      <c r="I122" s="66"/>
    </row>
    <row r="123" spans="2:9" ht="12.75">
      <c r="B123" t="s">
        <v>17</v>
      </c>
      <c r="H123" s="33">
        <f>SUM(H126:H130)</f>
        <v>210800</v>
      </c>
      <c r="I123" s="70">
        <f t="shared" si="1"/>
        <v>0.003267398590166519</v>
      </c>
    </row>
    <row r="124" spans="2:8" ht="12.75">
      <c r="B124" t="s">
        <v>103</v>
      </c>
      <c r="H124" s="36"/>
    </row>
    <row r="125" spans="2:8" ht="12.75">
      <c r="B125" t="s">
        <v>243</v>
      </c>
      <c r="H125" s="34"/>
    </row>
    <row r="126" spans="2:9" ht="12.75">
      <c r="B126" t="s">
        <v>167</v>
      </c>
      <c r="H126" s="34">
        <v>71900</v>
      </c>
      <c r="I126" s="66">
        <f t="shared" si="1"/>
        <v>0.001114449519131749</v>
      </c>
    </row>
    <row r="127" spans="2:9" ht="12.75">
      <c r="B127" t="s">
        <v>217</v>
      </c>
      <c r="H127" s="34">
        <v>800</v>
      </c>
      <c r="I127" s="66">
        <f t="shared" si="1"/>
        <v>1.2399994649588307E-05</v>
      </c>
    </row>
    <row r="128" spans="2:9" ht="12.75">
      <c r="B128" t="s">
        <v>264</v>
      </c>
      <c r="H128" s="34">
        <f>2600+1500</f>
        <v>4100</v>
      </c>
      <c r="I128" s="66">
        <f t="shared" si="1"/>
        <v>6.354997257914008E-05</v>
      </c>
    </row>
    <row r="129" spans="2:9" ht="12.75">
      <c r="B129" t="s">
        <v>226</v>
      </c>
      <c r="H129" s="34">
        <v>34000</v>
      </c>
      <c r="I129" s="66">
        <f t="shared" si="1"/>
        <v>0.000526999772607503</v>
      </c>
    </row>
    <row r="130" spans="2:9" ht="12" customHeight="1">
      <c r="B130" s="7" t="s">
        <v>227</v>
      </c>
      <c r="C130" s="7"/>
      <c r="H130" s="34">
        <v>100000</v>
      </c>
      <c r="I130" s="66">
        <f t="shared" si="1"/>
        <v>0.0015499993311985385</v>
      </c>
    </row>
    <row r="131" spans="2:8" ht="12" customHeight="1">
      <c r="B131" s="7"/>
      <c r="C131" s="7"/>
      <c r="H131" s="34"/>
    </row>
    <row r="132" spans="1:9" s="17" customFormat="1" ht="12" customHeight="1">
      <c r="A132" s="17" t="s">
        <v>127</v>
      </c>
      <c r="B132" s="19" t="s">
        <v>128</v>
      </c>
      <c r="C132" s="19"/>
      <c r="D132" s="18"/>
      <c r="E132" s="18"/>
      <c r="H132" s="35">
        <f>SUM(H133:H133)</f>
        <v>1140</v>
      </c>
      <c r="I132" s="70">
        <f t="shared" si="1"/>
        <v>1.7669992375663337E-05</v>
      </c>
    </row>
    <row r="133" spans="2:9" ht="12" customHeight="1">
      <c r="B133" t="s">
        <v>197</v>
      </c>
      <c r="C133" s="7"/>
      <c r="H133" s="34">
        <v>1140</v>
      </c>
      <c r="I133" s="66">
        <f t="shared" si="1"/>
        <v>1.7669992375663337E-05</v>
      </c>
    </row>
    <row r="134" spans="3:8" ht="12" customHeight="1">
      <c r="C134" s="7"/>
      <c r="H134" s="34"/>
    </row>
    <row r="135" spans="2:8" ht="12" customHeight="1">
      <c r="B135" s="7"/>
      <c r="C135" s="7"/>
      <c r="H135" s="34"/>
    </row>
    <row r="136" spans="1:9" s="3" customFormat="1" ht="12.75">
      <c r="A136" s="3" t="s">
        <v>129</v>
      </c>
      <c r="B136" s="20" t="s">
        <v>130</v>
      </c>
      <c r="D136" s="8"/>
      <c r="E136" s="8"/>
      <c r="H136" s="33">
        <f>SUM(H137:H137)</f>
        <v>30000</v>
      </c>
      <c r="I136" s="70">
        <f t="shared" si="1"/>
        <v>0.0004649997993595615</v>
      </c>
    </row>
    <row r="137" spans="2:9" ht="12" customHeight="1">
      <c r="B137" s="7" t="s">
        <v>198</v>
      </c>
      <c r="C137" s="7"/>
      <c r="H137" s="34">
        <v>30000</v>
      </c>
      <c r="I137" s="66">
        <f t="shared" si="1"/>
        <v>0.0004649997993595615</v>
      </c>
    </row>
    <row r="138" spans="2:8" ht="12" customHeight="1">
      <c r="B138" s="7"/>
      <c r="C138" s="7"/>
      <c r="H138" s="34"/>
    </row>
    <row r="139" spans="1:9" s="3" customFormat="1" ht="12.75">
      <c r="A139" s="3" t="s">
        <v>131</v>
      </c>
      <c r="B139" s="3" t="s">
        <v>104</v>
      </c>
      <c r="D139" s="8"/>
      <c r="E139" s="8"/>
      <c r="H139" s="34"/>
      <c r="I139" s="66"/>
    </row>
    <row r="140" spans="2:9" s="3" customFormat="1" ht="12.75">
      <c r="B140" s="3" t="s">
        <v>187</v>
      </c>
      <c r="D140" s="8"/>
      <c r="E140" s="8"/>
      <c r="H140" s="34"/>
      <c r="I140" s="66"/>
    </row>
    <row r="141" spans="2:9" s="3" customFormat="1" ht="12.75">
      <c r="B141" s="3" t="s">
        <v>191</v>
      </c>
      <c r="D141" s="8"/>
      <c r="E141" s="8"/>
      <c r="H141" s="34"/>
      <c r="I141" s="66"/>
    </row>
    <row r="142" spans="2:9" ht="12.75">
      <c r="B142" t="s">
        <v>105</v>
      </c>
      <c r="H142" s="33">
        <f>SUM(H145:H162)</f>
        <v>11607158</v>
      </c>
      <c r="I142" s="70">
        <f>$H142/$H$232</f>
        <v>0.17991087137115766</v>
      </c>
    </row>
    <row r="143" spans="2:8" ht="12.75">
      <c r="B143" t="s">
        <v>103</v>
      </c>
      <c r="H143" s="34"/>
    </row>
    <row r="144" spans="2:8" ht="12.75">
      <c r="B144" s="6" t="s">
        <v>132</v>
      </c>
      <c r="H144" s="34"/>
    </row>
    <row r="145" spans="2:9" ht="12.75">
      <c r="B145" s="6" t="s">
        <v>133</v>
      </c>
      <c r="H145" s="34">
        <v>138000</v>
      </c>
      <c r="I145" s="66">
        <f aca="true" t="shared" si="2" ref="I145:I167">$H145/$H$232</f>
        <v>0.002138999077053983</v>
      </c>
    </row>
    <row r="146" spans="2:9" ht="12.75">
      <c r="B146" s="16" t="s">
        <v>18</v>
      </c>
      <c r="H146" s="34">
        <f>4000000+1600000</f>
        <v>5600000</v>
      </c>
      <c r="I146" s="66">
        <f t="shared" si="2"/>
        <v>0.08679996254711815</v>
      </c>
    </row>
    <row r="147" spans="2:9" ht="12.75">
      <c r="B147" t="s">
        <v>19</v>
      </c>
      <c r="H147" s="34">
        <f>250+9000</f>
        <v>9250</v>
      </c>
      <c r="I147" s="66">
        <f t="shared" si="2"/>
        <v>0.0001433749381358648</v>
      </c>
    </row>
    <row r="148" spans="2:9" ht="12.75">
      <c r="B148" s="16" t="s">
        <v>20</v>
      </c>
      <c r="H148" s="34">
        <v>74000</v>
      </c>
      <c r="I148" s="66">
        <f t="shared" si="2"/>
        <v>0.0011469995050869184</v>
      </c>
    </row>
    <row r="149" spans="2:9" ht="12.75">
      <c r="B149" s="6" t="s">
        <v>21</v>
      </c>
      <c r="C149" s="6"/>
      <c r="D149" s="9"/>
      <c r="E149" s="9"/>
      <c r="G149" s="6"/>
      <c r="H149" s="34">
        <f>9000+58000</f>
        <v>67000</v>
      </c>
      <c r="I149" s="66">
        <f t="shared" si="2"/>
        <v>0.0010384995519030207</v>
      </c>
    </row>
    <row r="150" spans="2:9" ht="12.75">
      <c r="B150" s="16" t="s">
        <v>22</v>
      </c>
      <c r="C150" s="6"/>
      <c r="D150" s="9"/>
      <c r="E150" s="9"/>
      <c r="G150" s="6"/>
      <c r="H150" s="34">
        <f>10000+300000</f>
        <v>310000</v>
      </c>
      <c r="I150" s="66">
        <f t="shared" si="2"/>
        <v>0.004804997926715469</v>
      </c>
    </row>
    <row r="151" spans="2:9" ht="12.75">
      <c r="B151" s="6" t="s">
        <v>23</v>
      </c>
      <c r="C151" s="6"/>
      <c r="D151" s="9"/>
      <c r="E151" s="9"/>
      <c r="F151" s="6"/>
      <c r="G151" s="6"/>
      <c r="H151" s="34">
        <f>6100+8000</f>
        <v>14100</v>
      </c>
      <c r="I151" s="66">
        <f t="shared" si="2"/>
        <v>0.00021854990569899392</v>
      </c>
    </row>
    <row r="152" spans="2:9" ht="12.75">
      <c r="B152" s="6" t="s">
        <v>24</v>
      </c>
      <c r="C152" s="6"/>
      <c r="D152" s="9"/>
      <c r="E152" s="9"/>
      <c r="G152" s="6"/>
      <c r="H152" s="34">
        <f>10000+12000</f>
        <v>22000</v>
      </c>
      <c r="I152" s="66">
        <f t="shared" si="2"/>
        <v>0.0003409998528636785</v>
      </c>
    </row>
    <row r="153" spans="2:9" ht="12.75">
      <c r="B153" s="6" t="s">
        <v>25</v>
      </c>
      <c r="C153" s="6"/>
      <c r="D153" s="9"/>
      <c r="E153" s="9"/>
      <c r="F153" s="26"/>
      <c r="G153" s="6"/>
      <c r="H153" s="34">
        <v>46000</v>
      </c>
      <c r="I153" s="66">
        <f t="shared" si="2"/>
        <v>0.0007129996923513277</v>
      </c>
    </row>
    <row r="154" spans="2:9" ht="12.75">
      <c r="B154" s="6" t="s">
        <v>26</v>
      </c>
      <c r="C154" s="6"/>
      <c r="D154" s="9"/>
      <c r="E154" s="9"/>
      <c r="F154" s="26"/>
      <c r="G154" s="6"/>
      <c r="H154" s="34">
        <v>2000</v>
      </c>
      <c r="I154" s="66">
        <f t="shared" si="2"/>
        <v>3.099998662397077E-05</v>
      </c>
    </row>
    <row r="155" spans="2:9" ht="12.75">
      <c r="B155" s="6" t="s">
        <v>27</v>
      </c>
      <c r="C155" s="6"/>
      <c r="D155" s="9"/>
      <c r="E155" s="9"/>
      <c r="F155" s="26"/>
      <c r="G155" s="6"/>
      <c r="H155" s="34">
        <v>120000</v>
      </c>
      <c r="I155" s="66">
        <f t="shared" si="2"/>
        <v>0.001859999197438246</v>
      </c>
    </row>
    <row r="156" spans="2:9" ht="12.75">
      <c r="B156" s="6" t="s">
        <v>28</v>
      </c>
      <c r="C156" s="6"/>
      <c r="D156" s="9"/>
      <c r="E156" s="9"/>
      <c r="F156" s="26"/>
      <c r="G156" s="6"/>
      <c r="H156" s="34">
        <v>750000</v>
      </c>
      <c r="I156" s="66">
        <f t="shared" si="2"/>
        <v>0.01162499498398904</v>
      </c>
    </row>
    <row r="157" spans="2:9" ht="12.75">
      <c r="B157" s="6" t="s">
        <v>29</v>
      </c>
      <c r="C157" s="6"/>
      <c r="D157" s="9"/>
      <c r="E157" s="9"/>
      <c r="F157" s="6"/>
      <c r="G157" s="6"/>
      <c r="H157" s="34">
        <v>40000</v>
      </c>
      <c r="I157" s="66">
        <f t="shared" si="2"/>
        <v>0.0006199997324794154</v>
      </c>
    </row>
    <row r="158" spans="2:9" ht="12.75">
      <c r="B158" s="6" t="s">
        <v>30</v>
      </c>
      <c r="C158" s="6"/>
      <c r="D158" s="9"/>
      <c r="E158" s="9"/>
      <c r="F158" s="6"/>
      <c r="G158" s="6"/>
      <c r="H158" s="34">
        <v>420000</v>
      </c>
      <c r="I158" s="66">
        <f t="shared" si="2"/>
        <v>0.0065099971910338615</v>
      </c>
    </row>
    <row r="159" spans="2:8" ht="12.75">
      <c r="B159" s="6" t="s">
        <v>31</v>
      </c>
      <c r="C159" s="6"/>
      <c r="D159" s="9"/>
      <c r="E159" s="9"/>
      <c r="F159" s="6"/>
      <c r="G159" s="6"/>
      <c r="H159" s="34"/>
    </row>
    <row r="160" spans="2:9" ht="12.75">
      <c r="B160" s="6" t="s">
        <v>265</v>
      </c>
      <c r="C160" s="6"/>
      <c r="D160" s="9"/>
      <c r="E160" s="9"/>
      <c r="F160" s="6"/>
      <c r="G160" s="6"/>
      <c r="H160" s="34">
        <v>6000</v>
      </c>
      <c r="I160" s="66">
        <f t="shared" si="2"/>
        <v>9.299995987191231E-05</v>
      </c>
    </row>
    <row r="161" spans="2:9" ht="12.75">
      <c r="B161" s="6" t="s">
        <v>32</v>
      </c>
      <c r="C161" s="6"/>
      <c r="D161" s="9"/>
      <c r="E161" s="9"/>
      <c r="F161" s="6"/>
      <c r="G161" s="6"/>
      <c r="H161" s="34">
        <v>3788808</v>
      </c>
      <c r="I161" s="66">
        <f t="shared" si="2"/>
        <v>0.05872649866039672</v>
      </c>
    </row>
    <row r="162" spans="2:9" ht="12.75">
      <c r="B162" s="6" t="s">
        <v>33</v>
      </c>
      <c r="C162" s="6"/>
      <c r="D162" s="9"/>
      <c r="E162" s="9"/>
      <c r="F162" s="6"/>
      <c r="G162" s="6"/>
      <c r="H162" s="34">
        <v>200000</v>
      </c>
      <c r="I162" s="66">
        <f t="shared" si="2"/>
        <v>0.003099998662397077</v>
      </c>
    </row>
    <row r="163" spans="2:8" ht="12" customHeight="1">
      <c r="B163" s="7"/>
      <c r="C163" s="7"/>
      <c r="H163" s="34"/>
    </row>
    <row r="164" spans="1:9" s="3" customFormat="1" ht="12.75">
      <c r="A164" s="3" t="s">
        <v>134</v>
      </c>
      <c r="B164" s="3" t="s">
        <v>106</v>
      </c>
      <c r="D164" s="8"/>
      <c r="E164" s="8"/>
      <c r="H164" s="33">
        <f>H167</f>
        <v>2631753</v>
      </c>
      <c r="I164" s="70">
        <f t="shared" si="2"/>
        <v>0.04079215389879747</v>
      </c>
    </row>
    <row r="165" spans="2:8" ht="12.75">
      <c r="B165" t="s">
        <v>37</v>
      </c>
      <c r="H165" s="36"/>
    </row>
    <row r="166" spans="2:8" ht="12.75">
      <c r="B166" t="s">
        <v>38</v>
      </c>
      <c r="H166" s="36"/>
    </row>
    <row r="167" spans="2:9" ht="12.75">
      <c r="B167" t="s">
        <v>39</v>
      </c>
      <c r="H167" s="36">
        <f>SUM(E169:E170)</f>
        <v>2631753</v>
      </c>
      <c r="I167" s="66">
        <f t="shared" si="2"/>
        <v>0.04079215389879747</v>
      </c>
    </row>
    <row r="168" spans="2:8" ht="12.75">
      <c r="B168" t="s">
        <v>40</v>
      </c>
      <c r="H168" s="36"/>
    </row>
    <row r="169" spans="2:8" ht="12.75">
      <c r="B169" s="6" t="s">
        <v>41</v>
      </c>
      <c r="E169" s="39">
        <v>2577947</v>
      </c>
      <c r="H169" s="36"/>
    </row>
    <row r="170" spans="2:8" ht="12.75">
      <c r="B170" s="6" t="s">
        <v>34</v>
      </c>
      <c r="E170" s="64">
        <v>53806</v>
      </c>
      <c r="H170" s="36"/>
    </row>
    <row r="171" spans="2:8" ht="12.75">
      <c r="B171" s="26"/>
      <c r="E171" s="30"/>
      <c r="H171" s="36"/>
    </row>
    <row r="172" spans="1:9" s="3" customFormat="1" ht="12.75">
      <c r="A172" s="3" t="s">
        <v>135</v>
      </c>
      <c r="B172" s="3" t="s">
        <v>94</v>
      </c>
      <c r="D172" s="8"/>
      <c r="E172" s="28"/>
      <c r="H172" s="33"/>
      <c r="I172" s="66"/>
    </row>
    <row r="173" spans="2:9" ht="12.75">
      <c r="B173" t="s">
        <v>14</v>
      </c>
      <c r="E173" s="30"/>
      <c r="H173" s="33">
        <f>+H176+H181+H186+H191+H192+H199+H200</f>
        <v>743405</v>
      </c>
      <c r="I173" s="70">
        <f>$H173/$H$232</f>
        <v>0.011522772528096494</v>
      </c>
    </row>
    <row r="174" spans="2:8" ht="12.75">
      <c r="B174" t="s">
        <v>95</v>
      </c>
      <c r="E174" s="30"/>
      <c r="H174" s="34"/>
    </row>
    <row r="175" spans="2:8" ht="12.75">
      <c r="B175" t="s">
        <v>96</v>
      </c>
      <c r="E175" s="30"/>
      <c r="H175" s="34"/>
    </row>
    <row r="176" spans="2:9" ht="12.75">
      <c r="B176" t="s">
        <v>97</v>
      </c>
      <c r="E176" s="30"/>
      <c r="H176" s="34">
        <f>SUM(F178:F180)</f>
        <v>27000</v>
      </c>
      <c r="I176" s="66">
        <f>$H176/$H$232</f>
        <v>0.0004184998194236054</v>
      </c>
    </row>
    <row r="177" spans="2:8" ht="12.75">
      <c r="B177" t="s">
        <v>98</v>
      </c>
      <c r="E177" s="30"/>
      <c r="H177" s="34"/>
    </row>
    <row r="178" spans="2:8" ht="12.75">
      <c r="B178" t="s">
        <v>99</v>
      </c>
      <c r="E178" s="34"/>
      <c r="F178" s="34">
        <v>6000</v>
      </c>
      <c r="H178" s="34"/>
    </row>
    <row r="179" spans="2:8" ht="12.75">
      <c r="B179" t="s">
        <v>100</v>
      </c>
      <c r="E179" s="34"/>
      <c r="F179" s="34">
        <v>12300</v>
      </c>
      <c r="H179" s="34"/>
    </row>
    <row r="180" spans="2:8" ht="12.75">
      <c r="B180" t="s">
        <v>101</v>
      </c>
      <c r="E180" s="34"/>
      <c r="F180" s="34">
        <v>8700</v>
      </c>
      <c r="H180" s="34"/>
    </row>
    <row r="181" spans="2:9" ht="12.75">
      <c r="B181" t="s">
        <v>274</v>
      </c>
      <c r="E181" s="34"/>
      <c r="H181" s="34">
        <f>SUM(F183:F185)</f>
        <v>223005</v>
      </c>
      <c r="I181" s="66">
        <f>$H181/$H$232</f>
        <v>0.0034565760085393006</v>
      </c>
    </row>
    <row r="182" spans="2:8" ht="12.75">
      <c r="B182" t="s">
        <v>102</v>
      </c>
      <c r="E182" s="34"/>
      <c r="H182" s="34"/>
    </row>
    <row r="183" spans="2:8" ht="12.75">
      <c r="B183" t="s">
        <v>168</v>
      </c>
      <c r="E183" s="34"/>
      <c r="F183" s="34">
        <v>99800</v>
      </c>
      <c r="H183" s="34"/>
    </row>
    <row r="184" spans="2:8" ht="12.75">
      <c r="B184" t="s">
        <v>100</v>
      </c>
      <c r="E184" s="34"/>
      <c r="F184" s="34">
        <v>29205</v>
      </c>
      <c r="H184" s="34"/>
    </row>
    <row r="185" spans="2:8" ht="12.75">
      <c r="B185" t="s">
        <v>101</v>
      </c>
      <c r="E185" s="34"/>
      <c r="F185" s="34">
        <v>94000</v>
      </c>
      <c r="H185" s="34"/>
    </row>
    <row r="186" spans="2:9" ht="12.75">
      <c r="B186" t="s">
        <v>307</v>
      </c>
      <c r="E186" s="34"/>
      <c r="H186" s="34">
        <f>SUM(F188:F189)</f>
        <v>5500</v>
      </c>
      <c r="I186" s="66">
        <f>$H186/$H$232</f>
        <v>8.524996321591962E-05</v>
      </c>
    </row>
    <row r="187" spans="2:8" ht="12.75">
      <c r="B187" t="s">
        <v>98</v>
      </c>
      <c r="E187" s="34"/>
      <c r="H187" s="34"/>
    </row>
    <row r="188" spans="2:8" ht="12.75">
      <c r="B188" t="s">
        <v>99</v>
      </c>
      <c r="E188" s="34"/>
      <c r="F188" s="34">
        <v>5200</v>
      </c>
      <c r="H188" s="34"/>
    </row>
    <row r="189" spans="2:8" ht="12.75">
      <c r="B189" t="s">
        <v>101</v>
      </c>
      <c r="E189" s="34"/>
      <c r="F189" s="34">
        <v>300</v>
      </c>
      <c r="H189" s="34"/>
    </row>
    <row r="190" spans="2:8" ht="12.75">
      <c r="B190" t="s">
        <v>308</v>
      </c>
      <c r="E190" s="30"/>
      <c r="H190" s="34"/>
    </row>
    <row r="191" spans="2:9" ht="12.75">
      <c r="B191" t="s">
        <v>175</v>
      </c>
      <c r="E191" s="30"/>
      <c r="H191" s="34">
        <f>1000+500+100+100+1300+200+100</f>
        <v>3300</v>
      </c>
      <c r="I191" s="66">
        <f>$H191/$H$232</f>
        <v>5.114997792955177E-05</v>
      </c>
    </row>
    <row r="192" spans="2:9" ht="12.75">
      <c r="B192" t="s">
        <v>309</v>
      </c>
      <c r="E192" s="30"/>
      <c r="H192" s="34">
        <f>SUM(F194:F196)</f>
        <v>372600</v>
      </c>
      <c r="I192" s="66">
        <f>$H192/$H$232</f>
        <v>0.005775297508045754</v>
      </c>
    </row>
    <row r="193" spans="2:8" ht="12.75">
      <c r="B193" t="s">
        <v>192</v>
      </c>
      <c r="E193" s="30"/>
      <c r="H193" s="34"/>
    </row>
    <row r="194" spans="2:8" ht="12.75">
      <c r="B194" t="s">
        <v>193</v>
      </c>
      <c r="E194" s="34"/>
      <c r="F194" s="34">
        <v>181000</v>
      </c>
      <c r="H194" s="34"/>
    </row>
    <row r="195" spans="2:8" ht="12.75">
      <c r="B195" t="s">
        <v>194</v>
      </c>
      <c r="E195" s="34"/>
      <c r="F195" s="34">
        <v>190850</v>
      </c>
      <c r="H195" s="34"/>
    </row>
    <row r="196" spans="2:8" ht="12.75">
      <c r="B196" t="s">
        <v>35</v>
      </c>
      <c r="E196" s="34"/>
      <c r="F196" s="34">
        <f>150+600</f>
        <v>750</v>
      </c>
      <c r="H196" s="34"/>
    </row>
    <row r="197" spans="2:8" ht="12.75">
      <c r="B197" t="s">
        <v>310</v>
      </c>
      <c r="E197" s="34"/>
      <c r="H197" s="34"/>
    </row>
    <row r="198" spans="2:8" ht="12.75">
      <c r="B198" t="s">
        <v>266</v>
      </c>
      <c r="E198" s="34"/>
      <c r="H198" s="34"/>
    </row>
    <row r="199" spans="2:9" ht="12.75">
      <c r="B199" t="s">
        <v>267</v>
      </c>
      <c r="E199" s="34"/>
      <c r="H199" s="34">
        <v>12000</v>
      </c>
      <c r="I199" s="66">
        <f>$H199/$H$232</f>
        <v>0.00018599991974382462</v>
      </c>
    </row>
    <row r="200" spans="2:9" ht="12.75">
      <c r="B200" t="s">
        <v>36</v>
      </c>
      <c r="E200" s="34"/>
      <c r="H200" s="34">
        <v>100000</v>
      </c>
      <c r="I200" s="66">
        <f>$H200/$H$232</f>
        <v>0.0015499993311985385</v>
      </c>
    </row>
    <row r="201" spans="5:8" ht="12.75">
      <c r="E201" s="34"/>
      <c r="H201" s="34"/>
    </row>
    <row r="202" spans="1:9" s="3" customFormat="1" ht="12.75">
      <c r="A202" s="3" t="s">
        <v>188</v>
      </c>
      <c r="B202" s="3" t="s">
        <v>189</v>
      </c>
      <c r="D202" s="8"/>
      <c r="E202" s="8"/>
      <c r="H202" s="34"/>
      <c r="I202" s="66"/>
    </row>
    <row r="203" spans="2:9" ht="12.75">
      <c r="B203" t="s">
        <v>4</v>
      </c>
      <c r="H203" s="33">
        <f>SUM(H207:H219)</f>
        <v>1701520</v>
      </c>
      <c r="I203" s="70">
        <f aca="true" t="shared" si="3" ref="I203:I226">$H203/$H$232</f>
        <v>0.02637354862020937</v>
      </c>
    </row>
    <row r="204" spans="2:8" ht="12.75">
      <c r="B204" t="s">
        <v>103</v>
      </c>
      <c r="H204" s="34"/>
    </row>
    <row r="205" spans="2:8" ht="12.75">
      <c r="B205" t="s">
        <v>199</v>
      </c>
      <c r="H205" s="34"/>
    </row>
    <row r="206" spans="2:8" ht="12.75">
      <c r="B206" t="s">
        <v>201</v>
      </c>
      <c r="H206" s="34"/>
    </row>
    <row r="207" spans="2:9" ht="12.75">
      <c r="B207" t="s">
        <v>200</v>
      </c>
      <c r="H207" s="34">
        <v>1182000</v>
      </c>
      <c r="I207" s="66">
        <f t="shared" si="3"/>
        <v>0.018320992094766723</v>
      </c>
    </row>
    <row r="208" spans="2:8" ht="12.75">
      <c r="B208" t="s">
        <v>202</v>
      </c>
      <c r="H208" s="34"/>
    </row>
    <row r="209" spans="2:8" ht="12.75">
      <c r="B209" t="s">
        <v>203</v>
      </c>
      <c r="H209" s="34"/>
    </row>
    <row r="210" spans="2:9" ht="12.75">
      <c r="B210" t="s">
        <v>169</v>
      </c>
      <c r="H210" s="34">
        <v>14000</v>
      </c>
      <c r="I210" s="66">
        <f t="shared" si="3"/>
        <v>0.00021699990636779538</v>
      </c>
    </row>
    <row r="211" spans="2:8" ht="12.75">
      <c r="B211" t="s">
        <v>204</v>
      </c>
      <c r="H211" s="34"/>
    </row>
    <row r="212" spans="2:9" ht="12.75">
      <c r="B212" t="s">
        <v>176</v>
      </c>
      <c r="H212" s="34">
        <v>134000</v>
      </c>
      <c r="I212" s="66">
        <f t="shared" si="3"/>
        <v>0.0020769991038060414</v>
      </c>
    </row>
    <row r="213" spans="2:9" ht="12.75">
      <c r="B213" t="s">
        <v>205</v>
      </c>
      <c r="H213" s="34">
        <v>161000</v>
      </c>
      <c r="I213" s="66">
        <f t="shared" si="3"/>
        <v>0.002495498923229647</v>
      </c>
    </row>
    <row r="214" spans="2:9" ht="12.75">
      <c r="B214" t="s">
        <v>206</v>
      </c>
      <c r="H214" s="34">
        <v>108000</v>
      </c>
      <c r="I214" s="66">
        <f t="shared" si="3"/>
        <v>0.0016739992776944215</v>
      </c>
    </row>
    <row r="215" spans="2:9" ht="12.75">
      <c r="B215" t="s">
        <v>207</v>
      </c>
      <c r="H215" s="34">
        <v>12000</v>
      </c>
      <c r="I215" s="66">
        <f t="shared" si="3"/>
        <v>0.00018599991974382462</v>
      </c>
    </row>
    <row r="216" spans="2:8" ht="12.75">
      <c r="B216" t="s">
        <v>269</v>
      </c>
      <c r="H216" s="34"/>
    </row>
    <row r="217" spans="2:9" ht="12.75">
      <c r="B217" t="s">
        <v>311</v>
      </c>
      <c r="H217" s="34">
        <v>39000</v>
      </c>
      <c r="I217" s="66">
        <f t="shared" si="3"/>
        <v>0.00060449973916743</v>
      </c>
    </row>
    <row r="218" spans="2:9" ht="12.75">
      <c r="B218" t="s">
        <v>268</v>
      </c>
      <c r="H218" s="34">
        <v>51000</v>
      </c>
      <c r="I218" s="66">
        <f t="shared" si="3"/>
        <v>0.0007904996589112546</v>
      </c>
    </row>
    <row r="219" spans="2:9" ht="12.75">
      <c r="B219" t="s">
        <v>270</v>
      </c>
      <c r="H219" s="34">
        <f>400+120</f>
        <v>520</v>
      </c>
      <c r="I219" s="66">
        <f t="shared" si="3"/>
        <v>8.0599965222324E-06</v>
      </c>
    </row>
    <row r="220" ht="12.75">
      <c r="H220" s="34"/>
    </row>
    <row r="221" spans="1:9" s="3" customFormat="1" ht="12.75">
      <c r="A221" s="3" t="s">
        <v>136</v>
      </c>
      <c r="B221" s="3" t="s">
        <v>137</v>
      </c>
      <c r="D221" s="8"/>
      <c r="E221" s="8"/>
      <c r="H221" s="35">
        <f>H223</f>
        <v>65000</v>
      </c>
      <c r="I221" s="70">
        <f t="shared" si="3"/>
        <v>0.00100749956527905</v>
      </c>
    </row>
    <row r="222" spans="2:8" ht="12.75">
      <c r="B222" t="s">
        <v>42</v>
      </c>
      <c r="H222" s="34"/>
    </row>
    <row r="223" spans="2:10" ht="12.75">
      <c r="B223" t="s">
        <v>43</v>
      </c>
      <c r="H223" s="34">
        <f>55000+10000</f>
        <v>65000</v>
      </c>
      <c r="I223" s="66">
        <f t="shared" si="3"/>
        <v>0.00100749956527905</v>
      </c>
      <c r="J223" s="30"/>
    </row>
    <row r="224" ht="12.75">
      <c r="H224" s="34"/>
    </row>
    <row r="225" spans="1:9" ht="12.75">
      <c r="A225" s="3" t="s">
        <v>138</v>
      </c>
      <c r="B225" s="3" t="s">
        <v>181</v>
      </c>
      <c r="H225" s="33">
        <f>H226</f>
        <v>1500</v>
      </c>
      <c r="I225" s="70">
        <f t="shared" si="3"/>
        <v>2.3249989967978077E-05</v>
      </c>
    </row>
    <row r="226" spans="1:9" ht="12.75">
      <c r="A226" s="3"/>
      <c r="B226" s="6" t="s">
        <v>44</v>
      </c>
      <c r="H226" s="32">
        <v>1500</v>
      </c>
      <c r="I226" s="66">
        <f t="shared" si="3"/>
        <v>2.3249989967978077E-05</v>
      </c>
    </row>
    <row r="227" ht="12.75">
      <c r="H227" s="34"/>
    </row>
    <row r="228" ht="12.75">
      <c r="H228" s="34"/>
    </row>
    <row r="229" ht="12.75">
      <c r="H229" s="34"/>
    </row>
    <row r="230" ht="12.75">
      <c r="H230" s="34"/>
    </row>
    <row r="231" ht="12.75">
      <c r="H231" s="34"/>
    </row>
    <row r="232" spans="2:9" s="1" customFormat="1" ht="15">
      <c r="B232" s="1" t="s">
        <v>108</v>
      </c>
      <c r="D232" s="11"/>
      <c r="E232" s="11"/>
      <c r="F232" s="71"/>
      <c r="H232" s="33">
        <f>+H65+H69+H76+H118+H123+H132+H136+H142+H164+H173+H203+H221+H225</f>
        <v>64516156.870000005</v>
      </c>
      <c r="I232" s="70">
        <f>$H232/$H$232</f>
        <v>1</v>
      </c>
    </row>
    <row r="233" spans="1:9" s="1" customFormat="1" ht="15">
      <c r="A233" s="1" t="s">
        <v>271</v>
      </c>
      <c r="D233" s="11"/>
      <c r="E233" s="11"/>
      <c r="H233" s="33"/>
      <c r="I233" s="70"/>
    </row>
    <row r="234" spans="1:9" s="1" customFormat="1" ht="15">
      <c r="A234" s="1" t="s">
        <v>272</v>
      </c>
      <c r="D234" s="11"/>
      <c r="E234" s="11"/>
      <c r="H234" s="44">
        <f>H232-H235</f>
        <v>21828491.810000002</v>
      </c>
      <c r="I234" s="70">
        <f>$H234/$H$232</f>
        <v>0.33834147706572776</v>
      </c>
    </row>
    <row r="235" spans="1:9" s="1" customFormat="1" ht="15">
      <c r="A235" s="1" t="s">
        <v>273</v>
      </c>
      <c r="D235" s="11"/>
      <c r="E235" s="11"/>
      <c r="H235" s="44">
        <f>+H84+H86+H87+H200</f>
        <v>42687665.06</v>
      </c>
      <c r="I235" s="70">
        <f>$H235/$H$232</f>
        <v>0.6616585229342722</v>
      </c>
    </row>
    <row r="236" spans="4:9" s="1" customFormat="1" ht="15">
      <c r="D236" s="11"/>
      <c r="E236" s="11"/>
      <c r="H236" s="33"/>
      <c r="I236" s="66"/>
    </row>
    <row r="237" spans="1:8" ht="14.25">
      <c r="A237" s="2" t="s">
        <v>109</v>
      </c>
      <c r="H237" s="34"/>
    </row>
    <row r="238" ht="12.75">
      <c r="H238" s="34"/>
    </row>
    <row r="239" spans="1:11" s="10" customFormat="1" ht="15">
      <c r="A239" s="5" t="s">
        <v>141</v>
      </c>
      <c r="B239" s="5"/>
      <c r="C239" s="5"/>
      <c r="D239" s="12"/>
      <c r="E239" s="12"/>
      <c r="F239" s="5"/>
      <c r="G239" s="5"/>
      <c r="H239" s="35">
        <f>+H241+H246+H252+H257+H275+H281+H300+H303+H312+H317+H325+H349+H357+H375+H383+H400+H404</f>
        <v>31650174.6</v>
      </c>
      <c r="I239" s="72">
        <f>$H239/$H$560</f>
        <v>0.472521091436979</v>
      </c>
      <c r="J239" s="47"/>
      <c r="K239" s="47"/>
    </row>
    <row r="240" spans="1:8" ht="12.75">
      <c r="A240" s="3" t="s">
        <v>103</v>
      </c>
      <c r="H240" s="34"/>
    </row>
    <row r="241" spans="1:10" s="17" customFormat="1" ht="12.75">
      <c r="A241" s="17" t="s">
        <v>166</v>
      </c>
      <c r="B241" s="17" t="s">
        <v>118</v>
      </c>
      <c r="D241" s="18"/>
      <c r="E241" s="18"/>
      <c r="H241" s="35">
        <f>SUM(H242:H244)</f>
        <v>15300</v>
      </c>
      <c r="I241" s="72">
        <f>$H241/$H$560</f>
        <v>0.0002284212580295143</v>
      </c>
      <c r="J241" s="29"/>
    </row>
    <row r="242" spans="1:9" ht="12.75">
      <c r="A242" s="3"/>
      <c r="B242" t="s">
        <v>80</v>
      </c>
      <c r="H242" s="34">
        <v>300</v>
      </c>
      <c r="I242" s="68">
        <f>$H242/$H$560</f>
        <v>4.478848196657143E-06</v>
      </c>
    </row>
    <row r="243" spans="1:8" ht="12.75">
      <c r="A243" s="3"/>
      <c r="B243" t="s">
        <v>81</v>
      </c>
      <c r="H243" s="34"/>
    </row>
    <row r="244" spans="1:9" ht="12.75">
      <c r="A244" s="3"/>
      <c r="B244" t="s">
        <v>82</v>
      </c>
      <c r="H244" s="34">
        <v>15000</v>
      </c>
      <c r="I244" s="68">
        <f>$H244/$H$560</f>
        <v>0.00022394240983285714</v>
      </c>
    </row>
    <row r="245" spans="1:8" ht="12.75">
      <c r="A245" s="3"/>
      <c r="H245" s="34"/>
    </row>
    <row r="246" spans="1:10" s="3" customFormat="1" ht="12.75">
      <c r="A246" s="3" t="s">
        <v>139</v>
      </c>
      <c r="B246" s="3" t="s">
        <v>140</v>
      </c>
      <c r="D246" s="8"/>
      <c r="E246" s="8"/>
      <c r="H246" s="33">
        <f>SUM(H247:H250)</f>
        <v>761000</v>
      </c>
      <c r="I246" s="72">
        <f>$H246/$H$560</f>
        <v>0.011361344925520286</v>
      </c>
      <c r="J246" s="28"/>
    </row>
    <row r="247" spans="2:9" ht="12.75">
      <c r="B247" t="s">
        <v>212</v>
      </c>
      <c r="H247" s="36">
        <f>590000+45000+6000</f>
        <v>641000</v>
      </c>
      <c r="I247" s="68">
        <f>$H247/$H$560</f>
        <v>0.009569805646857428</v>
      </c>
    </row>
    <row r="248" spans="2:8" ht="12.75">
      <c r="B248" t="s">
        <v>213</v>
      </c>
      <c r="H248" s="36"/>
    </row>
    <row r="249" spans="2:8" ht="12.75">
      <c r="B249" t="s">
        <v>45</v>
      </c>
      <c r="H249" s="36"/>
    </row>
    <row r="250" spans="2:9" ht="12.75">
      <c r="B250" t="s">
        <v>244</v>
      </c>
      <c r="H250" s="36">
        <v>120000</v>
      </c>
      <c r="I250" s="68">
        <f>$H250/$H$560</f>
        <v>0.001791539278662857</v>
      </c>
    </row>
    <row r="251" spans="8:9" ht="12.75">
      <c r="H251" s="36"/>
      <c r="I251" s="68"/>
    </row>
    <row r="252" spans="1:10" s="3" customFormat="1" ht="12.75">
      <c r="A252" s="3" t="s">
        <v>119</v>
      </c>
      <c r="B252" s="3" t="s">
        <v>142</v>
      </c>
      <c r="D252" s="8"/>
      <c r="E252" s="8"/>
      <c r="H252" s="33">
        <f>SUM(H253:H255)</f>
        <v>607390</v>
      </c>
      <c r="I252" s="72">
        <f>$H252/$H$560</f>
        <v>0.00906802535389194</v>
      </c>
      <c r="J252" s="28"/>
    </row>
    <row r="253" spans="2:9" ht="12.75">
      <c r="B253" t="s">
        <v>313</v>
      </c>
      <c r="H253" s="34">
        <v>370000</v>
      </c>
      <c r="I253" s="68">
        <f>$H253/$H$560</f>
        <v>0.005523912775877143</v>
      </c>
    </row>
    <row r="254" spans="2:9" ht="12.75">
      <c r="B254" t="s">
        <v>314</v>
      </c>
      <c r="H254" s="34">
        <f>600+97000+4400+16300+2500+11500+5200+800+1000+180+13050+800+4500+1800+5400+6000+400+360+1700+2000+400+1500+10000</f>
        <v>187390</v>
      </c>
      <c r="I254" s="68">
        <f>$H254/$H$560</f>
        <v>0.00279763787857194</v>
      </c>
    </row>
    <row r="255" spans="2:9" ht="12.75">
      <c r="B255" t="s">
        <v>46</v>
      </c>
      <c r="H255" s="34">
        <v>50000</v>
      </c>
      <c r="I255" s="68">
        <f>$H255/$H$560</f>
        <v>0.0007464746994428572</v>
      </c>
    </row>
    <row r="256" ht="12.75">
      <c r="H256" s="34"/>
    </row>
    <row r="257" spans="1:10" s="3" customFormat="1" ht="14.25" customHeight="1">
      <c r="A257" s="3" t="s">
        <v>121</v>
      </c>
      <c r="B257" s="3" t="s">
        <v>122</v>
      </c>
      <c r="D257" s="8"/>
      <c r="E257" s="8"/>
      <c r="H257" s="33">
        <f>+H259+H260+H267</f>
        <v>1921437.6</v>
      </c>
      <c r="I257" s="72">
        <f>$H257/$H$560</f>
        <v>0.028686091099164094</v>
      </c>
      <c r="J257" s="28"/>
    </row>
    <row r="258" spans="2:10" ht="12.75">
      <c r="B258" t="s">
        <v>275</v>
      </c>
      <c r="H258" s="34"/>
      <c r="I258" s="68"/>
      <c r="J258" s="30"/>
    </row>
    <row r="259" spans="2:9" ht="12.75">
      <c r="B259" t="s">
        <v>315</v>
      </c>
      <c r="H259" s="34">
        <f>8000+30000+60000+500+10000+10000</f>
        <v>118500</v>
      </c>
      <c r="I259" s="68">
        <f>$H259/$H$560</f>
        <v>0.0017691450376795714</v>
      </c>
    </row>
    <row r="260" spans="2:9" ht="12.75">
      <c r="B260" t="s">
        <v>276</v>
      </c>
      <c r="H260" s="34">
        <f>SUM(F262:F265)</f>
        <v>720000</v>
      </c>
      <c r="I260" s="68">
        <f>$H260/$H$560</f>
        <v>0.010749235671977142</v>
      </c>
    </row>
    <row r="261" spans="2:8" ht="12.75">
      <c r="B261" t="s">
        <v>233</v>
      </c>
      <c r="H261" s="34"/>
    </row>
    <row r="262" spans="2:8" ht="12.75">
      <c r="B262" t="s">
        <v>234</v>
      </c>
      <c r="E262" s="30"/>
      <c r="F262" s="64">
        <v>347000</v>
      </c>
      <c r="H262" s="34"/>
    </row>
    <row r="263" spans="2:8" ht="12.75">
      <c r="B263" t="s">
        <v>47</v>
      </c>
      <c r="E263" s="30"/>
      <c r="F263" s="64"/>
      <c r="H263" s="34"/>
    </row>
    <row r="264" spans="2:8" ht="12.75">
      <c r="B264" t="s">
        <v>48</v>
      </c>
      <c r="E264" s="30"/>
      <c r="F264" s="64">
        <v>365000</v>
      </c>
      <c r="H264" s="34"/>
    </row>
    <row r="265" spans="2:8" ht="12.75">
      <c r="B265" t="s">
        <v>49</v>
      </c>
      <c r="E265" s="30"/>
      <c r="F265" s="64">
        <v>8000</v>
      </c>
      <c r="H265" s="34"/>
    </row>
    <row r="266" spans="5:8" ht="12.75">
      <c r="E266" s="30"/>
      <c r="H266" s="34"/>
    </row>
    <row r="267" spans="2:9" ht="12.75">
      <c r="B267" t="s">
        <v>50</v>
      </c>
      <c r="H267" s="34">
        <f>SUM(F269:F273)</f>
        <v>1082937.6</v>
      </c>
      <c r="I267" s="68">
        <f>$H267/$H$560</f>
        <v>0.016167710389507383</v>
      </c>
    </row>
    <row r="268" spans="2:8" ht="12.75">
      <c r="B268" t="s">
        <v>107</v>
      </c>
      <c r="H268" s="34"/>
    </row>
    <row r="269" spans="2:8" ht="12.75">
      <c r="B269" t="s">
        <v>235</v>
      </c>
      <c r="F269" s="65">
        <v>10396</v>
      </c>
      <c r="H269" s="34"/>
    </row>
    <row r="270" spans="2:8" ht="15" customHeight="1">
      <c r="B270" s="41" t="s">
        <v>237</v>
      </c>
      <c r="F270" s="65"/>
      <c r="H270" s="34"/>
    </row>
    <row r="271" spans="2:8" ht="15" customHeight="1">
      <c r="B271" t="s">
        <v>236</v>
      </c>
      <c r="F271" s="65">
        <v>972620</v>
      </c>
      <c r="H271" s="34"/>
    </row>
    <row r="272" spans="2:8" ht="15" customHeight="1">
      <c r="B272" t="s">
        <v>51</v>
      </c>
      <c r="F272" s="65">
        <v>29921.6</v>
      </c>
      <c r="H272" s="34"/>
    </row>
    <row r="273" spans="2:8" ht="15" customHeight="1">
      <c r="B273" t="s">
        <v>52</v>
      </c>
      <c r="F273" s="65">
        <v>70000</v>
      </c>
      <c r="H273" s="34"/>
    </row>
    <row r="274" spans="6:8" ht="15" customHeight="1">
      <c r="F274" s="4"/>
      <c r="H274" s="34"/>
    </row>
    <row r="275" spans="1:10" s="17" customFormat="1" ht="12.75">
      <c r="A275" s="17" t="s">
        <v>143</v>
      </c>
      <c r="B275" s="17" t="s">
        <v>144</v>
      </c>
      <c r="D275" s="18"/>
      <c r="E275" s="18"/>
      <c r="H275" s="35">
        <f>SUM(H276:H279)</f>
        <v>863202</v>
      </c>
      <c r="I275" s="72">
        <f>$H275/$H$560</f>
        <v>0.012887169070169463</v>
      </c>
      <c r="J275" s="29"/>
    </row>
    <row r="276" spans="2:9" ht="12.75">
      <c r="B276" t="s">
        <v>145</v>
      </c>
      <c r="H276" s="34">
        <v>805202</v>
      </c>
      <c r="I276" s="68">
        <f>$H276/$H$560</f>
        <v>0.01202125841881575</v>
      </c>
    </row>
    <row r="277" spans="2:8" ht="12.75">
      <c r="B277" t="s">
        <v>177</v>
      </c>
      <c r="H277" s="34"/>
    </row>
    <row r="278" spans="2:8" ht="12.75">
      <c r="B278" t="s">
        <v>146</v>
      </c>
      <c r="H278" s="34"/>
    </row>
    <row r="279" spans="2:9" ht="12.75">
      <c r="B279" t="s">
        <v>147</v>
      </c>
      <c r="H279" s="34">
        <v>58000</v>
      </c>
      <c r="I279" s="68">
        <f>$H279/$H$560</f>
        <v>0.0008659106513537142</v>
      </c>
    </row>
    <row r="280" ht="12.75">
      <c r="H280" s="34"/>
    </row>
    <row r="281" spans="1:12" s="3" customFormat="1" ht="12.75">
      <c r="A281" s="3" t="s">
        <v>125</v>
      </c>
      <c r="B281" s="3" t="s">
        <v>148</v>
      </c>
      <c r="D281" s="8"/>
      <c r="E281" s="8"/>
      <c r="H281" s="33">
        <f>SUM(H282:H298)</f>
        <v>6308850</v>
      </c>
      <c r="I281" s="72">
        <f aca="true" t="shared" si="4" ref="I281:I286">$H281/$H$560</f>
        <v>0.09418793815160138</v>
      </c>
      <c r="J281" s="28"/>
      <c r="L281" s="28"/>
    </row>
    <row r="282" spans="2:9" ht="12.75">
      <c r="B282" t="s">
        <v>115</v>
      </c>
      <c r="H282" s="34">
        <v>263000</v>
      </c>
      <c r="I282" s="68">
        <f t="shared" si="4"/>
        <v>0.003926456919069428</v>
      </c>
    </row>
    <row r="283" spans="2:9" ht="12.75">
      <c r="B283" t="s">
        <v>178</v>
      </c>
      <c r="H283" s="34">
        <v>166000</v>
      </c>
      <c r="I283" s="68">
        <f t="shared" si="4"/>
        <v>0.0024782960021502856</v>
      </c>
    </row>
    <row r="284" spans="2:9" ht="12.75">
      <c r="B284" t="s">
        <v>179</v>
      </c>
      <c r="H284" s="34">
        <f>4532000-234000-80000</f>
        <v>4218000</v>
      </c>
      <c r="I284" s="68">
        <f t="shared" si="4"/>
        <v>0.06297260564499943</v>
      </c>
    </row>
    <row r="285" spans="2:9" ht="12.75">
      <c r="B285" t="s">
        <v>180</v>
      </c>
      <c r="H285" s="34">
        <v>600</v>
      </c>
      <c r="I285" s="68">
        <f t="shared" si="4"/>
        <v>8.957696393314285E-06</v>
      </c>
    </row>
    <row r="286" spans="2:9" ht="12.75">
      <c r="B286" t="s">
        <v>53</v>
      </c>
      <c r="H286" s="34">
        <v>1167000</v>
      </c>
      <c r="I286" s="68">
        <f t="shared" si="4"/>
        <v>0.017422719484996286</v>
      </c>
    </row>
    <row r="287" spans="2:8" ht="12.75">
      <c r="B287" t="s">
        <v>54</v>
      </c>
      <c r="H287" s="34"/>
    </row>
    <row r="288" spans="2:9" ht="12.75">
      <c r="B288" t="s">
        <v>288</v>
      </c>
      <c r="H288" s="34">
        <v>700</v>
      </c>
      <c r="I288" s="68">
        <f>$H288/$H$560</f>
        <v>1.04506457922E-05</v>
      </c>
    </row>
    <row r="289" spans="2:9" ht="12.75">
      <c r="B289" t="s">
        <v>55</v>
      </c>
      <c r="H289" s="34">
        <f>105450+10000+4500</f>
        <v>119950</v>
      </c>
      <c r="I289" s="68">
        <f>$H289/$H$560</f>
        <v>0.001790792803963414</v>
      </c>
    </row>
    <row r="290" spans="2:9" ht="12.75">
      <c r="B290" t="s">
        <v>56</v>
      </c>
      <c r="H290" s="34">
        <v>26000</v>
      </c>
      <c r="I290" s="68">
        <f>$H290/$H$560</f>
        <v>0.0003881668437102857</v>
      </c>
    </row>
    <row r="291" spans="2:9" ht="12.75">
      <c r="B291" t="s">
        <v>57</v>
      </c>
      <c r="H291" s="34">
        <f>73000+4500+3700+200</f>
        <v>81400</v>
      </c>
      <c r="I291" s="68">
        <f>$H291/$H$560</f>
        <v>0.0012152608106929714</v>
      </c>
    </row>
    <row r="292" spans="2:8" ht="12.75">
      <c r="B292" t="s">
        <v>58</v>
      </c>
      <c r="H292" s="34"/>
    </row>
    <row r="293" spans="2:9" ht="12.75">
      <c r="B293" t="s">
        <v>228</v>
      </c>
      <c r="H293" s="34">
        <v>249000</v>
      </c>
      <c r="I293" s="68">
        <f aca="true" t="shared" si="5" ref="I293:I298">$H293/$H$560</f>
        <v>0.0037174440032254285</v>
      </c>
    </row>
    <row r="294" spans="2:9" ht="12.75">
      <c r="B294" t="s">
        <v>114</v>
      </c>
      <c r="H294" s="34">
        <v>3300</v>
      </c>
      <c r="I294" s="68">
        <f t="shared" si="5"/>
        <v>4.926733016322857E-05</v>
      </c>
    </row>
    <row r="295" spans="2:9" ht="12.75">
      <c r="B295" t="s">
        <v>170</v>
      </c>
      <c r="H295" s="34">
        <v>4200</v>
      </c>
      <c r="I295" s="68">
        <f t="shared" si="5"/>
        <v>6.27038747532E-05</v>
      </c>
    </row>
    <row r="296" spans="2:9" ht="12.75">
      <c r="B296" t="s">
        <v>277</v>
      </c>
      <c r="H296" s="34">
        <v>6700</v>
      </c>
      <c r="I296" s="68">
        <f t="shared" si="5"/>
        <v>0.00010002760972534286</v>
      </c>
    </row>
    <row r="297" spans="2:9" ht="12.75">
      <c r="B297" t="s">
        <v>218</v>
      </c>
      <c r="H297" s="34">
        <v>1500</v>
      </c>
      <c r="I297" s="68">
        <f t="shared" si="5"/>
        <v>2.2394240983285714E-05</v>
      </c>
    </row>
    <row r="298" spans="2:9" ht="12.75">
      <c r="B298" t="s">
        <v>316</v>
      </c>
      <c r="H298" s="34">
        <v>1500</v>
      </c>
      <c r="I298" s="68">
        <f t="shared" si="5"/>
        <v>2.2394240983285714E-05</v>
      </c>
    </row>
    <row r="299" ht="12.75">
      <c r="H299" s="34"/>
    </row>
    <row r="300" spans="1:9" s="3" customFormat="1" ht="12.75">
      <c r="A300" s="3" t="s">
        <v>127</v>
      </c>
      <c r="B300" s="3" t="s">
        <v>149</v>
      </c>
      <c r="D300" s="8"/>
      <c r="E300" s="8"/>
      <c r="H300" s="33">
        <f>SUM(H301:H301)</f>
        <v>1140</v>
      </c>
      <c r="I300" s="72">
        <f>$H300/$H$560</f>
        <v>1.701962314729714E-05</v>
      </c>
    </row>
    <row r="301" spans="2:9" ht="12.75">
      <c r="B301" t="s">
        <v>317</v>
      </c>
      <c r="H301" s="34">
        <v>1140</v>
      </c>
      <c r="I301" s="68">
        <f>$H301/$H$560</f>
        <v>1.701962314729714E-05</v>
      </c>
    </row>
    <row r="302" ht="12.75">
      <c r="H302" s="34"/>
    </row>
    <row r="303" spans="1:10" s="17" customFormat="1" ht="12.75">
      <c r="A303" s="17" t="s">
        <v>129</v>
      </c>
      <c r="B303" s="20" t="s">
        <v>150</v>
      </c>
      <c r="D303" s="18"/>
      <c r="E303" s="18"/>
      <c r="H303" s="35">
        <f>SUM(H305:H310)</f>
        <v>1092308</v>
      </c>
      <c r="I303" s="72">
        <f>$H303/$H$560</f>
        <v>0.016307605719980568</v>
      </c>
      <c r="J303" s="29"/>
    </row>
    <row r="304" spans="2:8" ht="12.75">
      <c r="B304" t="s">
        <v>278</v>
      </c>
      <c r="H304" s="34"/>
    </row>
    <row r="305" spans="2:9" ht="12.75">
      <c r="B305" t="s">
        <v>59</v>
      </c>
      <c r="H305" s="34">
        <v>300000</v>
      </c>
      <c r="I305" s="68">
        <f aca="true" t="shared" si="6" ref="I305:I310">$H305/$H$560</f>
        <v>0.0044788481966571425</v>
      </c>
    </row>
    <row r="306" spans="2:9" ht="12.75">
      <c r="B306" t="s">
        <v>60</v>
      </c>
      <c r="H306" s="34">
        <f>375208-30000-175000</f>
        <v>170208</v>
      </c>
      <c r="I306" s="68">
        <f t="shared" si="6"/>
        <v>0.0025411193128553966</v>
      </c>
    </row>
    <row r="307" spans="2:9" ht="12.75">
      <c r="B307" t="s">
        <v>61</v>
      </c>
      <c r="H307" s="34">
        <v>9850</v>
      </c>
      <c r="I307" s="68">
        <f t="shared" si="6"/>
        <v>0.00014705551579024284</v>
      </c>
    </row>
    <row r="308" spans="2:9" ht="12.75">
      <c r="B308" t="s">
        <v>62</v>
      </c>
      <c r="H308" s="34">
        <v>20000</v>
      </c>
      <c r="I308" s="68">
        <f t="shared" si="6"/>
        <v>0.00029858987977714283</v>
      </c>
    </row>
    <row r="309" spans="2:9" ht="12.75">
      <c r="B309" t="s">
        <v>318</v>
      </c>
      <c r="H309" s="34">
        <f>789250-200000</f>
        <v>589250</v>
      </c>
      <c r="I309" s="68">
        <f t="shared" si="6"/>
        <v>0.00879720433293407</v>
      </c>
    </row>
    <row r="310" spans="2:9" ht="12.75">
      <c r="B310" t="s">
        <v>319</v>
      </c>
      <c r="H310" s="34">
        <v>3000</v>
      </c>
      <c r="I310" s="68">
        <f t="shared" si="6"/>
        <v>4.478848196657143E-05</v>
      </c>
    </row>
    <row r="311" ht="12.75">
      <c r="H311" s="34"/>
    </row>
    <row r="312" spans="1:9" s="17" customFormat="1" ht="12.75">
      <c r="A312" s="17" t="s">
        <v>151</v>
      </c>
      <c r="B312" s="17" t="s">
        <v>152</v>
      </c>
      <c r="D312" s="18"/>
      <c r="E312" s="18"/>
      <c r="H312" s="35">
        <f>SUM(H313:H315)</f>
        <v>600000</v>
      </c>
      <c r="I312" s="72">
        <f>$H312/$H$560</f>
        <v>0.008957696393314285</v>
      </c>
    </row>
    <row r="313" spans="2:9" ht="12.75">
      <c r="B313" t="s">
        <v>238</v>
      </c>
      <c r="H313" s="34">
        <v>2000</v>
      </c>
      <c r="I313" s="68">
        <f>$H313/$H$560</f>
        <v>2.9858987977714286E-05</v>
      </c>
    </row>
    <row r="314" spans="2:9" ht="12.75">
      <c r="B314" t="s">
        <v>63</v>
      </c>
      <c r="H314" s="34">
        <f>230000+290000+51000</f>
        <v>571000</v>
      </c>
      <c r="I314" s="68">
        <f>$H314/$H$560</f>
        <v>0.008524741067637428</v>
      </c>
    </row>
    <row r="315" spans="2:9" ht="12.75">
      <c r="B315" t="s">
        <v>279</v>
      </c>
      <c r="H315" s="34">
        <v>27000</v>
      </c>
      <c r="I315" s="68">
        <f>$H315/$H$560</f>
        <v>0.0004030963376991428</v>
      </c>
    </row>
    <row r="316" ht="12.75">
      <c r="H316" s="34"/>
    </row>
    <row r="317" spans="1:9" s="17" customFormat="1" ht="12.75">
      <c r="A317" s="17" t="s">
        <v>134</v>
      </c>
      <c r="B317" s="17" t="s">
        <v>153</v>
      </c>
      <c r="D317" s="18"/>
      <c r="E317" s="18"/>
      <c r="H317" s="35">
        <f>SUM(H318:H321)</f>
        <v>365276</v>
      </c>
      <c r="I317" s="72">
        <f>$H317/$H$560</f>
        <v>0.005453385846273782</v>
      </c>
    </row>
    <row r="318" spans="2:9" s="16" customFormat="1" ht="12.75">
      <c r="B318" s="16" t="s">
        <v>65</v>
      </c>
      <c r="D318" s="21"/>
      <c r="E318" s="21"/>
      <c r="H318" s="32">
        <v>52776</v>
      </c>
      <c r="I318" s="68">
        <f>$H318/$H$560</f>
        <v>0.0007879189747559245</v>
      </c>
    </row>
    <row r="319" spans="2:9" ht="12.75">
      <c r="B319" t="s">
        <v>78</v>
      </c>
      <c r="H319" s="34">
        <v>200000</v>
      </c>
      <c r="I319" s="68">
        <f>$H319/$H$560</f>
        <v>0.0029858987977714286</v>
      </c>
    </row>
    <row r="320" spans="2:8" ht="12.75">
      <c r="B320" t="s">
        <v>79</v>
      </c>
      <c r="H320" s="34"/>
    </row>
    <row r="321" spans="2:9" ht="12.75">
      <c r="B321" t="s">
        <v>64</v>
      </c>
      <c r="H321" s="34">
        <v>112500</v>
      </c>
      <c r="I321" s="68">
        <f>$H321/$H$560</f>
        <v>0.0016795680737464284</v>
      </c>
    </row>
    <row r="322" ht="12.75">
      <c r="H322" s="34"/>
    </row>
    <row r="323" ht="12.75">
      <c r="H323" s="34"/>
    </row>
    <row r="324" ht="12.75">
      <c r="H324" s="34"/>
    </row>
    <row r="325" spans="1:11" s="3" customFormat="1" ht="12.75">
      <c r="A325" s="3" t="s">
        <v>135</v>
      </c>
      <c r="B325" s="3" t="s">
        <v>94</v>
      </c>
      <c r="D325" s="8"/>
      <c r="E325" s="8"/>
      <c r="H325" s="33">
        <f>+H326+H328+H329+H330+H332+H333+H334+H335+H340+H341+H343+H345+H347</f>
        <v>8454870</v>
      </c>
      <c r="I325" s="72">
        <f>$H325/$H$560</f>
        <v>0.12622693084156858</v>
      </c>
      <c r="J325" s="28"/>
      <c r="K325" s="28"/>
    </row>
    <row r="326" spans="2:9" s="51" customFormat="1" ht="12.75">
      <c r="B326" s="16" t="s">
        <v>66</v>
      </c>
      <c r="D326" s="52"/>
      <c r="E326" s="52"/>
      <c r="F326" s="52"/>
      <c r="G326" s="52"/>
      <c r="H326" s="32">
        <f>8000+12800+1696000+122000+272500+44000+13245+24000+130000+24000+142000+15000+2000+121000+7000+3000+3200+82500+130+3000+2000+15000</f>
        <v>2742375</v>
      </c>
      <c r="I326" s="68">
        <f>$H326/$H$560</f>
        <v>0.040942271077692105</v>
      </c>
    </row>
    <row r="327" spans="2:9" s="51" customFormat="1" ht="12.75">
      <c r="B327" s="16" t="s">
        <v>67</v>
      </c>
      <c r="D327" s="52"/>
      <c r="E327" s="52"/>
      <c r="F327" s="52"/>
      <c r="G327" s="52"/>
      <c r="H327" s="32"/>
      <c r="I327" s="69"/>
    </row>
    <row r="328" spans="2:9" s="51" customFormat="1" ht="12.75">
      <c r="B328" s="16" t="s">
        <v>280</v>
      </c>
      <c r="D328" s="52"/>
      <c r="E328" s="52"/>
      <c r="F328" s="52"/>
      <c r="G328" s="52"/>
      <c r="H328" s="32">
        <f>35100+2500+510200+38500+87110+13800+14500+55800+4000+12900+3000+1850+32200+1000+3700+3200+2000+2200+31000+1500+1500+2500</f>
        <v>860060</v>
      </c>
      <c r="I328" s="68">
        <f>$H328/$H$560</f>
        <v>0.012840260600056474</v>
      </c>
    </row>
    <row r="329" spans="2:9" s="6" customFormat="1" ht="12.75">
      <c r="B329" s="16" t="s">
        <v>219</v>
      </c>
      <c r="D329" s="9"/>
      <c r="E329" s="9"/>
      <c r="F329" s="9"/>
      <c r="G329" s="21"/>
      <c r="H329" s="36">
        <v>53897</v>
      </c>
      <c r="I329" s="68">
        <f>$H329/$H$560</f>
        <v>0.0008046549375174334</v>
      </c>
    </row>
    <row r="330" spans="2:9" s="6" customFormat="1" ht="12.75">
      <c r="B330" s="16" t="s">
        <v>281</v>
      </c>
      <c r="D330" s="9"/>
      <c r="E330" s="9"/>
      <c r="F330" s="9"/>
      <c r="G330" s="21"/>
      <c r="H330" s="36">
        <f>2017510-295000</f>
        <v>1722510</v>
      </c>
      <c r="I330" s="68">
        <f>$H330/$H$560</f>
        <v>0.025716202690746315</v>
      </c>
    </row>
    <row r="331" spans="2:7" s="6" customFormat="1" ht="12.75">
      <c r="B331" s="16" t="s">
        <v>533</v>
      </c>
      <c r="D331" s="9"/>
      <c r="E331" s="9"/>
      <c r="F331" s="9"/>
      <c r="G331" s="21"/>
    </row>
    <row r="332" spans="2:9" s="6" customFormat="1" ht="12.75">
      <c r="B332" s="16" t="s">
        <v>534</v>
      </c>
      <c r="D332" s="9"/>
      <c r="E332" s="9"/>
      <c r="F332" s="9"/>
      <c r="G332" s="21"/>
      <c r="H332" s="36">
        <f>2740600-364000-22000</f>
        <v>2354600</v>
      </c>
      <c r="I332" s="68">
        <f>$H332/$H$560</f>
        <v>0.03515298654616303</v>
      </c>
    </row>
    <row r="333" spans="2:9" s="6" customFormat="1" ht="12.75">
      <c r="B333" s="6" t="s">
        <v>282</v>
      </c>
      <c r="D333" s="9"/>
      <c r="E333" s="9"/>
      <c r="F333" s="31"/>
      <c r="H333" s="36">
        <v>96730</v>
      </c>
      <c r="I333" s="68">
        <f>$H333/$H$560</f>
        <v>0.0014441299535421514</v>
      </c>
    </row>
    <row r="334" spans="2:9" s="6" customFormat="1" ht="12.75">
      <c r="B334" s="6" t="s">
        <v>283</v>
      </c>
      <c r="D334" s="9"/>
      <c r="E334" s="9"/>
      <c r="F334" s="31"/>
      <c r="H334" s="36">
        <v>33600</v>
      </c>
      <c r="I334" s="68">
        <f>$H334/$H$560</f>
        <v>0.0005016309980256</v>
      </c>
    </row>
    <row r="335" spans="2:9" s="6" customFormat="1" ht="12.75">
      <c r="B335" s="6" t="s">
        <v>284</v>
      </c>
      <c r="D335" s="9"/>
      <c r="E335" s="9"/>
      <c r="F335" s="31"/>
      <c r="H335" s="36">
        <f>SUM(F337:F339)</f>
        <v>467298</v>
      </c>
      <c r="I335" s="68">
        <f>$H335/$H$560</f>
        <v>0.006976522682004964</v>
      </c>
    </row>
    <row r="336" spans="2:9" s="6" customFormat="1" ht="12.75">
      <c r="B336" t="s">
        <v>102</v>
      </c>
      <c r="C336"/>
      <c r="D336" s="9"/>
      <c r="E336" s="9"/>
      <c r="H336" s="36"/>
      <c r="I336" s="66"/>
    </row>
    <row r="337" spans="2:9" s="6" customFormat="1" ht="12.75">
      <c r="B337" t="s">
        <v>168</v>
      </c>
      <c r="C337"/>
      <c r="D337" s="9"/>
      <c r="E337" s="9"/>
      <c r="F337" s="64">
        <f>1000+91300+6600+15000+2400+7000+85800+15000+5000+2900</f>
        <v>232000</v>
      </c>
      <c r="H337" s="36"/>
      <c r="I337" s="66"/>
    </row>
    <row r="338" spans="2:9" s="6" customFormat="1" ht="12.75">
      <c r="B338" t="s">
        <v>100</v>
      </c>
      <c r="C338"/>
      <c r="D338" s="9"/>
      <c r="E338" s="9"/>
      <c r="F338" s="64">
        <f>228+28550+2150+4540+720+570+24840+1100+500+500+1300</f>
        <v>64998</v>
      </c>
      <c r="H338" s="36"/>
      <c r="I338" s="66"/>
    </row>
    <row r="339" spans="2:9" s="6" customFormat="1" ht="12.75">
      <c r="B339" t="s">
        <v>101</v>
      </c>
      <c r="C339"/>
      <c r="D339" s="9"/>
      <c r="E339" s="9"/>
      <c r="F339" s="64">
        <f>62600+5200+11700+1700+2500+81400+2500+2700</f>
        <v>170300</v>
      </c>
      <c r="H339" s="36"/>
      <c r="I339" s="66"/>
    </row>
    <row r="340" spans="2:9" s="6" customFormat="1" ht="12.75">
      <c r="B340" s="6" t="s">
        <v>297</v>
      </c>
      <c r="D340" s="9"/>
      <c r="E340" s="9"/>
      <c r="H340" s="36">
        <v>1200</v>
      </c>
      <c r="I340" s="68">
        <f>$H340/$H$560</f>
        <v>1.791539278662857E-05</v>
      </c>
    </row>
    <row r="341" spans="2:9" s="6" customFormat="1" ht="12.75">
      <c r="B341" s="6" t="s">
        <v>298</v>
      </c>
      <c r="D341" s="9"/>
      <c r="E341" s="9"/>
      <c r="H341" s="36">
        <v>21400</v>
      </c>
      <c r="I341" s="68">
        <f>$H341/$H$560</f>
        <v>0.00031949117136154283</v>
      </c>
    </row>
    <row r="342" spans="2:9" s="6" customFormat="1" ht="12.75">
      <c r="B342" s="6" t="s">
        <v>299</v>
      </c>
      <c r="D342" s="9"/>
      <c r="E342" s="9"/>
      <c r="H342" s="36"/>
      <c r="I342" s="66"/>
    </row>
    <row r="343" spans="2:9" s="6" customFormat="1" ht="12.75">
      <c r="B343" s="6" t="s">
        <v>171</v>
      </c>
      <c r="D343" s="9"/>
      <c r="E343" s="9"/>
      <c r="H343" s="36">
        <v>2400</v>
      </c>
      <c r="I343" s="68">
        <f>$H343/$H$560</f>
        <v>3.583078557325714E-05</v>
      </c>
    </row>
    <row r="344" spans="2:9" s="6" customFormat="1" ht="12.75">
      <c r="B344" s="6" t="s">
        <v>300</v>
      </c>
      <c r="D344" s="9"/>
      <c r="E344" s="9"/>
      <c r="H344" s="36"/>
      <c r="I344" s="66"/>
    </row>
    <row r="345" spans="2:9" s="6" customFormat="1" ht="12.75">
      <c r="B345" s="6" t="s">
        <v>320</v>
      </c>
      <c r="D345" s="9"/>
      <c r="E345" s="9"/>
      <c r="H345" s="36">
        <v>50000</v>
      </c>
      <c r="I345" s="68">
        <f>$H345/$H$560</f>
        <v>0.0007464746994428572</v>
      </c>
    </row>
    <row r="346" spans="2:9" s="6" customFormat="1" ht="12.75">
      <c r="B346" s="6" t="s">
        <v>301</v>
      </c>
      <c r="D346" s="9"/>
      <c r="E346" s="9"/>
      <c r="H346" s="36"/>
      <c r="I346" s="66"/>
    </row>
    <row r="347" spans="2:9" s="6" customFormat="1" ht="12.75">
      <c r="B347" s="6" t="s">
        <v>208</v>
      </c>
      <c r="D347" s="9"/>
      <c r="E347" s="9"/>
      <c r="H347" s="36">
        <v>48800</v>
      </c>
      <c r="I347" s="68">
        <f>$H347/$H$560</f>
        <v>0.0007285593066562286</v>
      </c>
    </row>
    <row r="348" spans="4:9" s="6" customFormat="1" ht="12.75">
      <c r="D348" s="9"/>
      <c r="E348" s="9"/>
      <c r="H348" s="36"/>
      <c r="I348" s="66"/>
    </row>
    <row r="349" spans="1:9" s="17" customFormat="1" ht="12.75">
      <c r="A349" s="17" t="s">
        <v>154</v>
      </c>
      <c r="B349" s="17" t="s">
        <v>112</v>
      </c>
      <c r="D349" s="18"/>
      <c r="E349" s="18"/>
      <c r="H349" s="35">
        <f>SUM(H350:H354)</f>
        <v>545600</v>
      </c>
      <c r="I349" s="72">
        <f>$H349/$H$560</f>
        <v>0.008145531920320456</v>
      </c>
    </row>
    <row r="350" spans="2:9" s="16" customFormat="1" ht="12.75">
      <c r="B350" s="16" t="s">
        <v>229</v>
      </c>
      <c r="D350" s="21"/>
      <c r="E350" s="21"/>
      <c r="H350" s="32">
        <v>30000</v>
      </c>
      <c r="I350" s="68">
        <f>$H350/$H$560</f>
        <v>0.00044788481966571427</v>
      </c>
    </row>
    <row r="351" spans="2:8" ht="12.75">
      <c r="B351" t="s">
        <v>230</v>
      </c>
      <c r="H351" s="34"/>
    </row>
    <row r="352" spans="2:9" ht="12.75">
      <c r="B352" t="s">
        <v>214</v>
      </c>
      <c r="H352" s="34">
        <f>519000-129000-80000</f>
        <v>310000</v>
      </c>
      <c r="I352" s="68">
        <f>$H352/$H$560</f>
        <v>0.004628143136545714</v>
      </c>
    </row>
    <row r="353" spans="2:9" ht="12.75">
      <c r="B353" t="s">
        <v>321</v>
      </c>
      <c r="H353" s="34">
        <v>80000</v>
      </c>
      <c r="I353" s="68">
        <f>$H353/$H$560</f>
        <v>0.0011943595191085713</v>
      </c>
    </row>
    <row r="354" spans="2:9" ht="12.75">
      <c r="B354" t="s">
        <v>68</v>
      </c>
      <c r="H354" s="34">
        <v>125600</v>
      </c>
      <c r="I354" s="68">
        <f>$H354/$H$560</f>
        <v>0.001875144445000457</v>
      </c>
    </row>
    <row r="355" ht="12.75">
      <c r="H355" s="34"/>
    </row>
    <row r="356" ht="12.75">
      <c r="H356" s="34"/>
    </row>
    <row r="357" spans="1:9" s="3" customFormat="1" ht="12.75">
      <c r="A357" s="3" t="s">
        <v>188</v>
      </c>
      <c r="B357" s="3" t="s">
        <v>190</v>
      </c>
      <c r="D357" s="8"/>
      <c r="E357" s="8"/>
      <c r="H357" s="33">
        <f>SUM(H359:H373)</f>
        <v>3271560</v>
      </c>
      <c r="I357" s="72">
        <f>$H357/$H$560</f>
        <v>0.04884273535418547</v>
      </c>
    </row>
    <row r="358" spans="2:9" s="16" customFormat="1" ht="12.75">
      <c r="B358" s="16" t="s">
        <v>232</v>
      </c>
      <c r="D358" s="21"/>
      <c r="E358" s="21"/>
      <c r="H358" s="32"/>
      <c r="I358" s="66"/>
    </row>
    <row r="359" spans="2:9" s="16" customFormat="1" ht="12.75">
      <c r="B359" s="16" t="s">
        <v>231</v>
      </c>
      <c r="D359" s="21"/>
      <c r="E359" s="21"/>
      <c r="H359" s="32"/>
      <c r="I359" s="66"/>
    </row>
    <row r="360" spans="2:9" s="16" customFormat="1" ht="12.75">
      <c r="B360" s="16" t="s">
        <v>69</v>
      </c>
      <c r="D360" s="21"/>
      <c r="E360" s="21"/>
      <c r="H360" s="32">
        <v>1278460</v>
      </c>
      <c r="I360" s="68">
        <f aca="true" t="shared" si="7" ref="I360:I368">$H360/$H$560</f>
        <v>0.0190867608849943</v>
      </c>
    </row>
    <row r="361" spans="2:9" s="16" customFormat="1" ht="12.75">
      <c r="B361" s="16" t="s">
        <v>209</v>
      </c>
      <c r="D361" s="21"/>
      <c r="E361" s="21"/>
      <c r="H361" s="32">
        <v>14000</v>
      </c>
      <c r="I361" s="68">
        <f t="shared" si="7"/>
        <v>0.000209012915844</v>
      </c>
    </row>
    <row r="362" spans="2:9" ht="12.75">
      <c r="B362" t="s">
        <v>210</v>
      </c>
      <c r="H362" s="34">
        <f>133000+1000</f>
        <v>134000</v>
      </c>
      <c r="I362" s="68">
        <f t="shared" si="7"/>
        <v>0.002000552194506857</v>
      </c>
    </row>
    <row r="363" spans="2:9" ht="12.75">
      <c r="B363" t="s">
        <v>211</v>
      </c>
      <c r="H363" s="34">
        <f>195000+2000</f>
        <v>197000</v>
      </c>
      <c r="I363" s="68">
        <f t="shared" si="7"/>
        <v>0.002941110315804857</v>
      </c>
    </row>
    <row r="364" spans="2:9" ht="12.75">
      <c r="B364" t="s">
        <v>220</v>
      </c>
      <c r="H364" s="34">
        <v>161000</v>
      </c>
      <c r="I364" s="68">
        <f t="shared" si="7"/>
        <v>0.0024036485322059997</v>
      </c>
    </row>
    <row r="365" spans="2:9" ht="12.75">
      <c r="B365" t="s">
        <v>285</v>
      </c>
      <c r="H365" s="34">
        <v>80000</v>
      </c>
      <c r="I365" s="68">
        <f t="shared" si="7"/>
        <v>0.0011943595191085713</v>
      </c>
    </row>
    <row r="366" spans="2:9" ht="12.75">
      <c r="B366" t="s">
        <v>361</v>
      </c>
      <c r="H366" s="34">
        <v>200000</v>
      </c>
      <c r="I366" s="68">
        <f t="shared" si="7"/>
        <v>0.0029858987977714286</v>
      </c>
    </row>
    <row r="367" spans="2:9" ht="12.75">
      <c r="B367" t="s">
        <v>70</v>
      </c>
      <c r="H367" s="34">
        <v>716540</v>
      </c>
      <c r="I367" s="68">
        <f t="shared" si="7"/>
        <v>0.010697579622775696</v>
      </c>
    </row>
    <row r="368" spans="2:13" ht="12.75">
      <c r="B368" t="s">
        <v>71</v>
      </c>
      <c r="H368" s="34">
        <v>328260</v>
      </c>
      <c r="I368" s="68">
        <f t="shared" si="7"/>
        <v>0.004900755696782245</v>
      </c>
      <c r="L368" s="4"/>
      <c r="M368" s="4"/>
    </row>
    <row r="369" spans="2:13" ht="12.75">
      <c r="B369" t="s">
        <v>72</v>
      </c>
      <c r="H369" s="34"/>
      <c r="L369" s="4"/>
      <c r="M369" s="4"/>
    </row>
    <row r="370" spans="2:9" ht="12.75">
      <c r="B370" t="s">
        <v>362</v>
      </c>
      <c r="H370" s="34">
        <f>51000+80000</f>
        <v>131000</v>
      </c>
      <c r="I370" s="68">
        <f>$H370/$H$560</f>
        <v>0.0019557637125402856</v>
      </c>
    </row>
    <row r="371" spans="2:9" ht="12.75">
      <c r="B371" t="s">
        <v>363</v>
      </c>
      <c r="H371" s="34">
        <v>10000</v>
      </c>
      <c r="I371" s="68">
        <f>$H371/$H$560</f>
        <v>0.00014929493988857142</v>
      </c>
    </row>
    <row r="372" spans="2:8" ht="12.75">
      <c r="B372" t="s">
        <v>364</v>
      </c>
      <c r="H372" s="34"/>
    </row>
    <row r="373" spans="2:9" ht="12.75">
      <c r="B373" t="s">
        <v>91</v>
      </c>
      <c r="H373" s="34">
        <v>21300</v>
      </c>
      <c r="I373" s="68">
        <f>$H373/$H$560</f>
        <v>0.00031799822196265713</v>
      </c>
    </row>
    <row r="374" ht="12.75">
      <c r="H374" s="34"/>
    </row>
    <row r="375" spans="1:9" s="17" customFormat="1" ht="12.75">
      <c r="A375" s="17" t="s">
        <v>136</v>
      </c>
      <c r="B375" s="17" t="s">
        <v>137</v>
      </c>
      <c r="D375" s="18"/>
      <c r="E375" s="18"/>
      <c r="H375" s="35">
        <f>SUM(H376:H381)</f>
        <v>266016</v>
      </c>
      <c r="I375" s="72">
        <f>$H375/$H$560</f>
        <v>0.003971484272939822</v>
      </c>
    </row>
    <row r="376" spans="2:9" s="16" customFormat="1" ht="12.75">
      <c r="B376" s="16" t="s">
        <v>155</v>
      </c>
      <c r="D376" s="21"/>
      <c r="E376" s="21"/>
      <c r="H376" s="32">
        <v>212300</v>
      </c>
      <c r="I376" s="68">
        <f>$H376/$H$560</f>
        <v>0.0031695315738343713</v>
      </c>
    </row>
    <row r="377" spans="2:9" s="16" customFormat="1" ht="12.75">
      <c r="B377" s="16" t="s">
        <v>221</v>
      </c>
      <c r="D377" s="21"/>
      <c r="E377" s="21"/>
      <c r="H377" s="32">
        <v>11500</v>
      </c>
      <c r="I377" s="68">
        <f>$H377/$H$560</f>
        <v>0.00017168918087185714</v>
      </c>
    </row>
    <row r="378" spans="2:9" s="16" customFormat="1" ht="12.75">
      <c r="B378" s="16" t="s">
        <v>222</v>
      </c>
      <c r="D378" s="21"/>
      <c r="E378" s="21"/>
      <c r="H378" s="32">
        <v>40000</v>
      </c>
      <c r="I378" s="68">
        <f>$H378/$H$560</f>
        <v>0.0005971797595542857</v>
      </c>
    </row>
    <row r="379" spans="2:9" ht="12.75">
      <c r="B379" t="s">
        <v>286</v>
      </c>
      <c r="H379" s="34">
        <v>576</v>
      </c>
      <c r="I379" s="68">
        <f>$H379/$H$560</f>
        <v>8.599388537581715E-06</v>
      </c>
    </row>
    <row r="380" spans="2:8" ht="12.75">
      <c r="B380" s="6" t="s">
        <v>287</v>
      </c>
      <c r="H380" s="34"/>
    </row>
    <row r="381" spans="2:9" ht="12.75">
      <c r="B381" s="6" t="s">
        <v>208</v>
      </c>
      <c r="H381" s="34">
        <v>1640</v>
      </c>
      <c r="I381" s="68">
        <f>$H381/$H$560</f>
        <v>2.4484370141725712E-05</v>
      </c>
    </row>
    <row r="382" ht="12.75">
      <c r="H382" s="34"/>
    </row>
    <row r="383" spans="1:10" s="3" customFormat="1" ht="12.75">
      <c r="A383" s="3" t="s">
        <v>138</v>
      </c>
      <c r="B383" s="3" t="s">
        <v>156</v>
      </c>
      <c r="D383" s="8"/>
      <c r="E383" s="8"/>
      <c r="H383" s="33">
        <f>SUM(H384:H398)</f>
        <v>3209500</v>
      </c>
      <c r="I383" s="72">
        <f aca="true" t="shared" si="8" ref="I383:I389">$H383/$H$560</f>
        <v>0.047916210957237</v>
      </c>
      <c r="J383" s="28"/>
    </row>
    <row r="384" spans="2:9" ht="12.75">
      <c r="B384" t="s">
        <v>110</v>
      </c>
      <c r="H384" s="34">
        <f>1935000-500000</f>
        <v>1435000</v>
      </c>
      <c r="I384" s="68">
        <f t="shared" si="8"/>
        <v>0.021423823874009998</v>
      </c>
    </row>
    <row r="385" spans="2:9" ht="12.75">
      <c r="B385" t="s">
        <v>111</v>
      </c>
      <c r="H385" s="34">
        <f>1000000-55000</f>
        <v>945000</v>
      </c>
      <c r="I385" s="68">
        <f t="shared" si="8"/>
        <v>0.014108371819469999</v>
      </c>
    </row>
    <row r="386" spans="2:9" ht="12.75">
      <c r="B386" t="s">
        <v>223</v>
      </c>
      <c r="H386" s="34">
        <f>70000+260000+15000</f>
        <v>345000</v>
      </c>
      <c r="I386" s="68">
        <f t="shared" si="8"/>
        <v>0.005150675426155714</v>
      </c>
    </row>
    <row r="387" spans="2:9" ht="12.75">
      <c r="B387" t="s">
        <v>224</v>
      </c>
      <c r="H387" s="34">
        <v>150000</v>
      </c>
      <c r="I387" s="68">
        <f t="shared" si="8"/>
        <v>0.0022394240983285713</v>
      </c>
    </row>
    <row r="388" spans="2:9" ht="12.75">
      <c r="B388" t="s">
        <v>73</v>
      </c>
      <c r="H388" s="34">
        <v>10000</v>
      </c>
      <c r="I388" s="68">
        <f t="shared" si="8"/>
        <v>0.00014929493988857142</v>
      </c>
    </row>
    <row r="389" spans="2:9" ht="12.75">
      <c r="B389" t="s">
        <v>74</v>
      </c>
      <c r="H389" s="34">
        <v>30000</v>
      </c>
      <c r="I389" s="68">
        <f t="shared" si="8"/>
        <v>0.00044788481966571427</v>
      </c>
    </row>
    <row r="390" spans="8:9" ht="12.75">
      <c r="H390" s="34"/>
      <c r="I390" s="68"/>
    </row>
    <row r="391" spans="2:8" ht="12.75">
      <c r="B391" t="s">
        <v>75</v>
      </c>
      <c r="H391" s="34"/>
    </row>
    <row r="392" spans="2:9" ht="12.75">
      <c r="B392" t="s">
        <v>245</v>
      </c>
      <c r="H392" s="34">
        <v>28000</v>
      </c>
      <c r="I392" s="68">
        <f>$H392/$H$560</f>
        <v>0.000418025831688</v>
      </c>
    </row>
    <row r="393" spans="2:9" ht="12.75">
      <c r="B393" t="s">
        <v>76</v>
      </c>
      <c r="H393" s="34">
        <v>15000</v>
      </c>
      <c r="I393" s="68">
        <f>$H393/$H$560</f>
        <v>0.00022394240983285714</v>
      </c>
    </row>
    <row r="394" spans="2:8" ht="12.75">
      <c r="B394" t="s">
        <v>83</v>
      </c>
      <c r="H394" s="34"/>
    </row>
    <row r="395" spans="2:9" ht="12.75">
      <c r="B395" t="s">
        <v>543</v>
      </c>
      <c r="H395" s="34">
        <v>100000</v>
      </c>
      <c r="I395" s="68">
        <f>$H395/$H$560</f>
        <v>0.0014929493988857143</v>
      </c>
    </row>
    <row r="396" spans="2:9" ht="12.75">
      <c r="B396" t="s">
        <v>84</v>
      </c>
      <c r="H396" s="34">
        <f>60000+4000</f>
        <v>64000</v>
      </c>
      <c r="I396" s="68">
        <f>$H396/$H$560</f>
        <v>0.0009554876152868571</v>
      </c>
    </row>
    <row r="397" spans="2:9" ht="12.75">
      <c r="B397" t="s">
        <v>85</v>
      </c>
      <c r="H397" s="34">
        <v>37500</v>
      </c>
      <c r="I397" s="68">
        <f>$H397/$H$560</f>
        <v>0.0005598560245821428</v>
      </c>
    </row>
    <row r="398" spans="2:9" ht="12.75">
      <c r="B398" t="s">
        <v>86</v>
      </c>
      <c r="H398" s="34">
        <v>50000</v>
      </c>
      <c r="I398" s="68">
        <f>$H398/$H$560</f>
        <v>0.0007464746994428572</v>
      </c>
    </row>
    <row r="399" ht="12.75">
      <c r="H399" s="34"/>
    </row>
    <row r="400" spans="1:10" s="3" customFormat="1" ht="12.75">
      <c r="A400" s="3" t="s">
        <v>160</v>
      </c>
      <c r="B400" s="3" t="s">
        <v>157</v>
      </c>
      <c r="D400" s="8"/>
      <c r="E400" s="8"/>
      <c r="H400" s="33">
        <f>SUM(H401:H402)</f>
        <v>2740885</v>
      </c>
      <c r="I400" s="72">
        <f>$H400/$H$560</f>
        <v>0.04092002613164871</v>
      </c>
      <c r="J400" s="28"/>
    </row>
    <row r="401" spans="2:9" s="3" customFormat="1" ht="12.75">
      <c r="B401" t="s">
        <v>158</v>
      </c>
      <c r="D401" s="8"/>
      <c r="E401" s="8"/>
      <c r="H401" s="32">
        <v>2353800</v>
      </c>
      <c r="I401" s="68">
        <f>$H401/$H$560</f>
        <v>0.035141042950971944</v>
      </c>
    </row>
    <row r="402" spans="2:9" ht="12.75">
      <c r="B402" t="s">
        <v>365</v>
      </c>
      <c r="H402" s="32">
        <v>387085</v>
      </c>
      <c r="I402" s="68">
        <f>$H402/$H$560</f>
        <v>0.005778983180676767</v>
      </c>
    </row>
    <row r="403" ht="12.75">
      <c r="H403" s="34"/>
    </row>
    <row r="404" spans="1:9" s="3" customFormat="1" ht="12.75">
      <c r="A404" s="3" t="s">
        <v>159</v>
      </c>
      <c r="B404" s="3" t="s">
        <v>113</v>
      </c>
      <c r="D404" s="8"/>
      <c r="E404" s="8"/>
      <c r="H404" s="33">
        <f>SUM(H405:H409)</f>
        <v>625840</v>
      </c>
      <c r="I404" s="72">
        <f aca="true" t="shared" si="9" ref="I404:I409">$H404/$H$560</f>
        <v>0.009343474517986354</v>
      </c>
    </row>
    <row r="405" spans="1:9" s="40" customFormat="1" ht="12.75">
      <c r="A405" s="6"/>
      <c r="B405" s="6" t="s">
        <v>322</v>
      </c>
      <c r="C405" s="6"/>
      <c r="D405" s="9"/>
      <c r="E405" s="9"/>
      <c r="F405" s="6"/>
      <c r="G405" s="6"/>
      <c r="H405" s="36">
        <f>5000+7000+1040+60000+45000+55000+7000</f>
        <v>180040</v>
      </c>
      <c r="I405" s="68">
        <f t="shared" si="9"/>
        <v>0.00268790609775384</v>
      </c>
    </row>
    <row r="406" spans="2:9" s="40" customFormat="1" ht="12.75">
      <c r="B406" s="40" t="s">
        <v>323</v>
      </c>
      <c r="D406" s="45"/>
      <c r="E406" s="45"/>
      <c r="H406" s="46">
        <v>75000</v>
      </c>
      <c r="I406" s="68">
        <f t="shared" si="9"/>
        <v>0.0011197120491642856</v>
      </c>
    </row>
    <row r="407" spans="2:9" ht="12.75">
      <c r="B407" s="40" t="s">
        <v>295</v>
      </c>
      <c r="H407" s="34"/>
      <c r="I407" s="68"/>
    </row>
    <row r="408" spans="2:9" ht="12.75">
      <c r="B408" s="40" t="s">
        <v>296</v>
      </c>
      <c r="H408" s="34">
        <v>4800</v>
      </c>
      <c r="I408" s="68">
        <f t="shared" si="9"/>
        <v>7.166157114651428E-05</v>
      </c>
    </row>
    <row r="409" spans="2:9" ht="12.75">
      <c r="B409" t="s">
        <v>77</v>
      </c>
      <c r="H409" s="34">
        <v>366000</v>
      </c>
      <c r="I409" s="68">
        <f t="shared" si="9"/>
        <v>0.005464194799921714</v>
      </c>
    </row>
    <row r="410" ht="12.75">
      <c r="H410" s="34"/>
    </row>
    <row r="411" ht="12.75">
      <c r="H411" s="34"/>
    </row>
    <row r="412" ht="12.75">
      <c r="H412" s="34"/>
    </row>
    <row r="413" ht="12.75">
      <c r="H413" s="34"/>
    </row>
    <row r="414" spans="1:10" s="10" customFormat="1" ht="15">
      <c r="A414" s="5" t="s">
        <v>116</v>
      </c>
      <c r="B414" s="5"/>
      <c r="C414" s="5"/>
      <c r="D414" s="12"/>
      <c r="E414" s="12"/>
      <c r="F414" s="5"/>
      <c r="G414" s="5"/>
      <c r="H414" s="37">
        <f>+H416+H424+H457+H462+H471+H474+H482+H491+H519+H523+H548+H557</f>
        <v>35331331.989999995</v>
      </c>
      <c r="I414" s="72">
        <f>$H414/$H$560</f>
        <v>0.5274789085630209</v>
      </c>
      <c r="J414" s="47"/>
    </row>
    <row r="415" spans="1:8" ht="12.75">
      <c r="A415" s="3" t="s">
        <v>103</v>
      </c>
      <c r="H415" s="34"/>
    </row>
    <row r="416" spans="1:9" ht="12.75">
      <c r="A416" s="17" t="s">
        <v>246</v>
      </c>
      <c r="B416" s="3" t="s">
        <v>247</v>
      </c>
      <c r="H416" s="33">
        <f>SUM(H418:H422)</f>
        <v>776820</v>
      </c>
      <c r="I416" s="72">
        <f>$H416/$H$560</f>
        <v>0.011597529520424005</v>
      </c>
    </row>
    <row r="417" spans="1:9" ht="12.75">
      <c r="A417" s="3"/>
      <c r="B417" t="s">
        <v>398</v>
      </c>
      <c r="H417" s="34"/>
      <c r="I417" s="72"/>
    </row>
    <row r="418" spans="1:9" ht="12.75">
      <c r="A418" s="3"/>
      <c r="B418" t="s">
        <v>324</v>
      </c>
      <c r="H418" s="34">
        <v>769820</v>
      </c>
      <c r="I418" s="68">
        <f>$H418/$H$560</f>
        <v>0.011493023062502005</v>
      </c>
    </row>
    <row r="419" spans="1:8" ht="12.75">
      <c r="A419" s="3"/>
      <c r="B419" t="s">
        <v>399</v>
      </c>
      <c r="H419" s="34"/>
    </row>
    <row r="420" spans="1:8" ht="12.75">
      <c r="A420" s="3"/>
      <c r="B420" t="s">
        <v>400</v>
      </c>
      <c r="H420" s="34"/>
    </row>
    <row r="421" spans="1:8" ht="12.75">
      <c r="A421" s="3"/>
      <c r="B421" t="s">
        <v>401</v>
      </c>
      <c r="H421" s="34"/>
    </row>
    <row r="422" spans="1:9" ht="12.75">
      <c r="A422" s="3"/>
      <c r="B422" t="s">
        <v>402</v>
      </c>
      <c r="H422" s="34">
        <v>7000</v>
      </c>
      <c r="I422" s="68">
        <f>$H422/$H$560</f>
        <v>0.000104506457922</v>
      </c>
    </row>
    <row r="423" spans="1:8" ht="12.75">
      <c r="A423" s="3"/>
      <c r="H423" s="34"/>
    </row>
    <row r="424" spans="1:9" s="17" customFormat="1" ht="12.75">
      <c r="A424" s="17" t="s">
        <v>139</v>
      </c>
      <c r="B424" s="17" t="s">
        <v>215</v>
      </c>
      <c r="D424" s="18"/>
      <c r="E424" s="18"/>
      <c r="H424" s="35">
        <f>SUM(H427:H455)</f>
        <v>14724962.95</v>
      </c>
      <c r="I424" s="72">
        <f>$H424/$H$560</f>
        <v>0.21983624584816913</v>
      </c>
    </row>
    <row r="425" spans="1:9" s="40" customFormat="1" ht="12.75">
      <c r="A425" s="6"/>
      <c r="B425" s="6" t="s">
        <v>325</v>
      </c>
      <c r="C425" s="6"/>
      <c r="D425" s="9"/>
      <c r="E425" s="9"/>
      <c r="F425" s="6"/>
      <c r="G425" s="6"/>
      <c r="H425" s="36"/>
      <c r="I425" s="66"/>
    </row>
    <row r="426" spans="2:9" s="17" customFormat="1" ht="12.75">
      <c r="B426" s="6" t="s">
        <v>326</v>
      </c>
      <c r="D426" s="18"/>
      <c r="E426" s="18"/>
      <c r="H426" s="35"/>
      <c r="I426" s="66"/>
    </row>
    <row r="427" spans="2:9" s="17" customFormat="1" ht="12.75">
      <c r="B427" s="6" t="s">
        <v>327</v>
      </c>
      <c r="D427" s="18"/>
      <c r="E427" s="36"/>
      <c r="H427" s="36">
        <v>8638298.59</v>
      </c>
      <c r="I427" s="68">
        <f aca="true" t="shared" si="10" ref="I427:I445">$H427/$H$560</f>
        <v>0.12896542687335813</v>
      </c>
    </row>
    <row r="428" spans="1:9" s="40" customFormat="1" ht="12.75">
      <c r="A428" s="6"/>
      <c r="B428" s="6" t="s">
        <v>408</v>
      </c>
      <c r="C428" s="6"/>
      <c r="D428" s="9"/>
      <c r="E428" s="9"/>
      <c r="F428" s="6"/>
      <c r="G428" s="6"/>
      <c r="H428" s="36"/>
      <c r="I428" s="68"/>
    </row>
    <row r="429" spans="1:9" s="40" customFormat="1" ht="12.75">
      <c r="A429" s="6"/>
      <c r="B429" s="53" t="s">
        <v>328</v>
      </c>
      <c r="C429" s="6"/>
      <c r="D429" s="9"/>
      <c r="E429" s="9"/>
      <c r="F429" s="6"/>
      <c r="G429" s="6"/>
      <c r="H429" s="36">
        <v>320000</v>
      </c>
      <c r="I429" s="68">
        <f t="shared" si="10"/>
        <v>0.004777438076434285</v>
      </c>
    </row>
    <row r="430" spans="1:9" s="40" customFormat="1" ht="12.75">
      <c r="A430" s="6"/>
      <c r="B430" s="6" t="s">
        <v>409</v>
      </c>
      <c r="C430" s="6"/>
      <c r="D430" s="9"/>
      <c r="E430" s="9"/>
      <c r="F430" s="6"/>
      <c r="G430" s="6"/>
      <c r="H430" s="36"/>
      <c r="I430" s="68"/>
    </row>
    <row r="431" spans="1:9" s="40" customFormat="1" ht="12.75">
      <c r="A431" s="6"/>
      <c r="B431" s="6" t="s">
        <v>329</v>
      </c>
      <c r="C431" s="6"/>
      <c r="D431" s="9"/>
      <c r="E431" s="9"/>
      <c r="F431" s="6"/>
      <c r="G431" s="6"/>
      <c r="H431" s="36">
        <v>100000</v>
      </c>
      <c r="I431" s="68">
        <f t="shared" si="10"/>
        <v>0.0014929493988857143</v>
      </c>
    </row>
    <row r="432" spans="1:9" s="40" customFormat="1" ht="12.75">
      <c r="A432" s="6"/>
      <c r="B432" s="6" t="s">
        <v>410</v>
      </c>
      <c r="C432" s="6"/>
      <c r="D432" s="9"/>
      <c r="E432" s="9"/>
      <c r="F432" s="6"/>
      <c r="G432" s="6"/>
      <c r="H432" s="36"/>
      <c r="I432" s="66"/>
    </row>
    <row r="433" spans="1:9" s="40" customFormat="1" ht="12.75">
      <c r="A433" s="6"/>
      <c r="B433" s="6" t="s">
        <v>330</v>
      </c>
      <c r="C433" s="6"/>
      <c r="D433" s="36"/>
      <c r="E433" s="9"/>
      <c r="F433" s="6"/>
      <c r="G433" s="6"/>
      <c r="H433" s="36">
        <v>50000</v>
      </c>
      <c r="I433" s="68">
        <f t="shared" si="10"/>
        <v>0.0007464746994428572</v>
      </c>
    </row>
    <row r="434" spans="1:9" s="40" customFormat="1" ht="12.75">
      <c r="A434" s="6"/>
      <c r="B434" s="16" t="s">
        <v>411</v>
      </c>
      <c r="C434" s="16"/>
      <c r="D434" s="21"/>
      <c r="E434" s="21"/>
      <c r="F434" s="16"/>
      <c r="G434" s="16"/>
      <c r="H434" s="32">
        <v>1000916</v>
      </c>
      <c r="I434" s="68">
        <f t="shared" si="10"/>
        <v>0.014943169405350936</v>
      </c>
    </row>
    <row r="435" spans="1:9" s="40" customFormat="1" ht="12.75">
      <c r="A435" s="6"/>
      <c r="B435" s="16" t="s">
        <v>412</v>
      </c>
      <c r="C435" s="6"/>
      <c r="D435" s="9"/>
      <c r="E435" s="9"/>
      <c r="F435" s="6"/>
      <c r="G435" s="6"/>
      <c r="H435" s="36">
        <v>469540</v>
      </c>
      <c r="I435" s="68">
        <f t="shared" si="10"/>
        <v>0.007009994607527982</v>
      </c>
    </row>
    <row r="436" spans="2:9" ht="12.75">
      <c r="B436" s="16" t="s">
        <v>413</v>
      </c>
      <c r="H436" s="34">
        <v>700000</v>
      </c>
      <c r="I436" s="68">
        <f t="shared" si="10"/>
        <v>0.0104506457922</v>
      </c>
    </row>
    <row r="437" ht="12.75">
      <c r="B437" s="16" t="s">
        <v>414</v>
      </c>
    </row>
    <row r="438" spans="2:9" ht="12.75">
      <c r="B438" s="16" t="s">
        <v>248</v>
      </c>
      <c r="H438" s="34">
        <v>100000</v>
      </c>
      <c r="I438" s="68">
        <f t="shared" si="10"/>
        <v>0.0014929493988857143</v>
      </c>
    </row>
    <row r="439" spans="2:8" ht="12.75">
      <c r="B439" t="s">
        <v>544</v>
      </c>
      <c r="H439" s="34"/>
    </row>
    <row r="440" ht="12.75">
      <c r="B440" t="s">
        <v>523</v>
      </c>
    </row>
    <row r="441" spans="2:9" ht="12.75">
      <c r="B441" t="s">
        <v>524</v>
      </c>
      <c r="H441" s="34"/>
      <c r="I441" s="68"/>
    </row>
    <row r="442" spans="2:9" ht="12.75">
      <c r="B442" t="s">
        <v>525</v>
      </c>
      <c r="H442" s="34">
        <v>143231</v>
      </c>
      <c r="I442" s="68">
        <f>$H442/$H$560</f>
        <v>0.0021383663535179975</v>
      </c>
    </row>
    <row r="443" spans="2:8" ht="12.75">
      <c r="B443" t="s">
        <v>415</v>
      </c>
      <c r="H443" s="34"/>
    </row>
    <row r="444" spans="2:9" ht="12.75">
      <c r="B444" t="s">
        <v>403</v>
      </c>
      <c r="H444" s="34">
        <v>21350</v>
      </c>
      <c r="I444" s="68">
        <f t="shared" si="10"/>
        <v>0.0003187446966621</v>
      </c>
    </row>
    <row r="445" spans="2:9" ht="12.75">
      <c r="B445" t="s">
        <v>416</v>
      </c>
      <c r="H445" s="34">
        <v>350000</v>
      </c>
      <c r="I445" s="68">
        <f t="shared" si="10"/>
        <v>0.0052253228961</v>
      </c>
    </row>
    <row r="446" spans="2:8" ht="12.75">
      <c r="B446" t="s">
        <v>417</v>
      </c>
      <c r="H446" s="34"/>
    </row>
    <row r="447" spans="2:8" ht="12.75">
      <c r="B447" t="s">
        <v>404</v>
      </c>
      <c r="H447" s="34"/>
    </row>
    <row r="448" spans="2:9" ht="12.75">
      <c r="B448" t="s">
        <v>405</v>
      </c>
      <c r="H448" s="34">
        <v>500000</v>
      </c>
      <c r="I448" s="68">
        <f aca="true" t="shared" si="11" ref="I448:I457">$H448/$H$560</f>
        <v>0.007464746994428571</v>
      </c>
    </row>
    <row r="449" spans="2:8" ht="12.75">
      <c r="B449" s="16" t="s">
        <v>418</v>
      </c>
      <c r="H449" s="34"/>
    </row>
    <row r="450" spans="2:9" ht="12.75">
      <c r="B450" t="s">
        <v>406</v>
      </c>
      <c r="H450" s="34">
        <v>250000</v>
      </c>
      <c r="I450" s="68">
        <f t="shared" si="11"/>
        <v>0.0037323734972142856</v>
      </c>
    </row>
    <row r="451" spans="2:9" ht="12.75">
      <c r="B451" t="s">
        <v>419</v>
      </c>
      <c r="H451" s="34">
        <v>500000</v>
      </c>
      <c r="I451" s="68">
        <f t="shared" si="11"/>
        <v>0.007464746994428571</v>
      </c>
    </row>
    <row r="452" spans="2:9" ht="12.75">
      <c r="B452" t="s">
        <v>420</v>
      </c>
      <c r="H452" s="34">
        <v>1500000</v>
      </c>
      <c r="I452" s="68">
        <f t="shared" si="11"/>
        <v>0.022394240983285713</v>
      </c>
    </row>
    <row r="453" spans="2:8" ht="12.75">
      <c r="B453" t="s">
        <v>421</v>
      </c>
      <c r="H453" s="34"/>
    </row>
    <row r="454" spans="2:9" ht="12.75">
      <c r="B454" t="s">
        <v>407</v>
      </c>
      <c r="H454" s="34">
        <v>1627.36</v>
      </c>
      <c r="I454" s="68">
        <f t="shared" si="11"/>
        <v>2.4295661337706556E-05</v>
      </c>
    </row>
    <row r="455" spans="2:9" ht="12.75">
      <c r="B455" t="s">
        <v>422</v>
      </c>
      <c r="H455" s="34">
        <v>80000</v>
      </c>
      <c r="I455" s="68">
        <f t="shared" si="11"/>
        <v>0.0011943595191085713</v>
      </c>
    </row>
    <row r="456" ht="12.75">
      <c r="H456" s="34"/>
    </row>
    <row r="457" spans="1:9" ht="12.75">
      <c r="A457" s="17" t="s">
        <v>119</v>
      </c>
      <c r="B457" s="3" t="s">
        <v>120</v>
      </c>
      <c r="H457" s="33">
        <f>SUM(H459:H460)</f>
        <v>1100000</v>
      </c>
      <c r="I457" s="72">
        <f t="shared" si="11"/>
        <v>0.016422443387742857</v>
      </c>
    </row>
    <row r="458" spans="2:8" ht="12.75">
      <c r="B458" t="s">
        <v>423</v>
      </c>
      <c r="H458" s="34"/>
    </row>
    <row r="459" spans="2:8" ht="12.75">
      <c r="B459" t="s">
        <v>424</v>
      </c>
      <c r="H459" s="34"/>
    </row>
    <row r="460" spans="2:9" ht="12.75">
      <c r="B460" t="s">
        <v>425</v>
      </c>
      <c r="H460" s="34">
        <v>1100000</v>
      </c>
      <c r="I460" s="68">
        <f>$H460/$H$560</f>
        <v>0.016422443387742857</v>
      </c>
    </row>
    <row r="461" ht="12.75">
      <c r="H461" s="34"/>
    </row>
    <row r="462" spans="1:9" s="17" customFormat="1" ht="12.75">
      <c r="A462" s="17" t="s">
        <v>121</v>
      </c>
      <c r="B462" s="17" t="s">
        <v>225</v>
      </c>
      <c r="D462" s="18"/>
      <c r="E462" s="18"/>
      <c r="H462" s="35">
        <f>SUM(H463:H469)</f>
        <v>472806.32</v>
      </c>
      <c r="I462" s="72">
        <f>$H462/$H$560</f>
        <v>0.007058759112333666</v>
      </c>
    </row>
    <row r="463" spans="2:9" ht="12.75">
      <c r="B463" t="s">
        <v>426</v>
      </c>
      <c r="H463" s="34">
        <v>310000</v>
      </c>
      <c r="I463" s="68">
        <f>$H463/$H$560</f>
        <v>0.004628143136545714</v>
      </c>
    </row>
    <row r="464" spans="2:8" ht="12.75">
      <c r="B464" t="s">
        <v>427</v>
      </c>
      <c r="H464" s="34"/>
    </row>
    <row r="465" spans="2:8" ht="12.75">
      <c r="B465" t="s">
        <v>331</v>
      </c>
      <c r="H465" s="34"/>
    </row>
    <row r="466" spans="2:8" ht="12.75">
      <c r="B466" t="s">
        <v>332</v>
      </c>
      <c r="H466" s="34"/>
    </row>
    <row r="467" spans="2:9" ht="12.75">
      <c r="B467" t="s">
        <v>333</v>
      </c>
      <c r="H467" s="34">
        <v>160000</v>
      </c>
      <c r="I467" s="68">
        <f aca="true" t="shared" si="12" ref="I467:I474">$H467/$H$560</f>
        <v>0.0023887190382171426</v>
      </c>
    </row>
    <row r="468" spans="2:9" ht="12.75">
      <c r="B468" t="s">
        <v>428</v>
      </c>
      <c r="H468" s="34"/>
      <c r="I468" s="68"/>
    </row>
    <row r="469" spans="2:9" ht="12.75">
      <c r="B469" t="s">
        <v>429</v>
      </c>
      <c r="H469" s="34">
        <v>2806.32</v>
      </c>
      <c r="I469" s="68">
        <f t="shared" si="12"/>
        <v>4.189693757080958E-05</v>
      </c>
    </row>
    <row r="470" ht="12.75">
      <c r="H470" s="34"/>
    </row>
    <row r="471" spans="1:9" s="3" customFormat="1" ht="12.75">
      <c r="A471" s="3" t="s">
        <v>143</v>
      </c>
      <c r="B471" s="3" t="s">
        <v>144</v>
      </c>
      <c r="D471" s="8"/>
      <c r="E471" s="8"/>
      <c r="H471" s="33">
        <f>SUM(H472:H472)</f>
        <v>1500000</v>
      </c>
      <c r="I471" s="72">
        <f t="shared" si="12"/>
        <v>0.022394240983285713</v>
      </c>
    </row>
    <row r="472" spans="1:9" s="40" customFormat="1" ht="12.75">
      <c r="A472" s="6"/>
      <c r="B472" s="6" t="s">
        <v>239</v>
      </c>
      <c r="C472" s="6"/>
      <c r="D472" s="9"/>
      <c r="E472" s="9"/>
      <c r="F472" s="6"/>
      <c r="G472" s="6"/>
      <c r="H472" s="36">
        <v>1500000</v>
      </c>
      <c r="I472" s="68">
        <f t="shared" si="12"/>
        <v>0.022394240983285713</v>
      </c>
    </row>
    <row r="473" ht="12.75">
      <c r="H473" s="34"/>
    </row>
    <row r="474" spans="1:9" s="17" customFormat="1" ht="12.75">
      <c r="A474" s="17" t="s">
        <v>125</v>
      </c>
      <c r="B474" s="17" t="s">
        <v>126</v>
      </c>
      <c r="D474" s="18"/>
      <c r="E474" s="18"/>
      <c r="H474" s="35">
        <f>SUM(H477:H480)</f>
        <v>314000</v>
      </c>
      <c r="I474" s="72">
        <f t="shared" si="12"/>
        <v>0.004687861112501143</v>
      </c>
    </row>
    <row r="475" spans="2:9" s="16" customFormat="1" ht="12.75">
      <c r="B475" s="16" t="s">
        <v>430</v>
      </c>
      <c r="D475" s="21"/>
      <c r="E475" s="21"/>
      <c r="H475" s="32"/>
      <c r="I475" s="66"/>
    </row>
    <row r="476" spans="2:9" s="16" customFormat="1" ht="12.75">
      <c r="B476" s="16" t="s">
        <v>431</v>
      </c>
      <c r="D476" s="21"/>
      <c r="E476" s="21"/>
      <c r="H476" s="32"/>
      <c r="I476" s="66"/>
    </row>
    <row r="477" spans="2:9" s="16" customFormat="1" ht="12.75">
      <c r="B477" s="16" t="s">
        <v>432</v>
      </c>
      <c r="D477" s="21"/>
      <c r="E477" s="21"/>
      <c r="H477" s="32">
        <v>225000</v>
      </c>
      <c r="I477" s="68">
        <f aca="true" t="shared" si="13" ref="I477:I491">$H477/$H$560</f>
        <v>0.003359136147492857</v>
      </c>
    </row>
    <row r="478" spans="2:9" ht="12.75">
      <c r="B478" t="s">
        <v>433</v>
      </c>
      <c r="H478" s="34">
        <v>9000</v>
      </c>
      <c r="I478" s="68">
        <f t="shared" si="13"/>
        <v>0.0001343654458997143</v>
      </c>
    </row>
    <row r="479" spans="2:9" ht="12.75">
      <c r="B479" t="s">
        <v>434</v>
      </c>
      <c r="H479" s="34">
        <v>30000</v>
      </c>
      <c r="I479" s="68">
        <f t="shared" si="13"/>
        <v>0.00044788481966571427</v>
      </c>
    </row>
    <row r="480" spans="2:10" ht="12.75">
      <c r="B480" t="s">
        <v>435</v>
      </c>
      <c r="H480" s="34">
        <v>50000</v>
      </c>
      <c r="I480" s="68">
        <f t="shared" si="13"/>
        <v>0.0007464746994428572</v>
      </c>
      <c r="J480" s="30"/>
    </row>
    <row r="481" ht="12.75">
      <c r="H481" s="34"/>
    </row>
    <row r="482" spans="1:9" s="17" customFormat="1" ht="12.75">
      <c r="A482" s="17" t="s">
        <v>129</v>
      </c>
      <c r="B482" s="17" t="s">
        <v>130</v>
      </c>
      <c r="D482" s="18"/>
      <c r="E482" s="18"/>
      <c r="H482" s="35">
        <f>SUM(H483:H489)</f>
        <v>805000</v>
      </c>
      <c r="I482" s="72">
        <f t="shared" si="13"/>
        <v>0.01201824266103</v>
      </c>
    </row>
    <row r="483" spans="2:9" s="16" customFormat="1" ht="12.75">
      <c r="B483" s="16" t="s">
        <v>436</v>
      </c>
      <c r="D483" s="21"/>
      <c r="E483" s="21"/>
      <c r="H483" s="32">
        <v>30000</v>
      </c>
      <c r="I483" s="68">
        <f t="shared" si="13"/>
        <v>0.00044788481966571427</v>
      </c>
    </row>
    <row r="484" spans="2:9" s="16" customFormat="1" ht="12.75">
      <c r="B484" s="16" t="s">
        <v>437</v>
      </c>
      <c r="D484" s="21"/>
      <c r="E484" s="21"/>
      <c r="H484" s="32">
        <v>30000</v>
      </c>
      <c r="I484" s="68">
        <f t="shared" si="13"/>
        <v>0.00044788481966571427</v>
      </c>
    </row>
    <row r="485" spans="2:9" s="16" customFormat="1" ht="12.75">
      <c r="B485" s="16" t="s">
        <v>438</v>
      </c>
      <c r="D485" s="21"/>
      <c r="E485" s="21"/>
      <c r="H485" s="32">
        <v>130000</v>
      </c>
      <c r="I485" s="68">
        <f t="shared" si="13"/>
        <v>0.0019408342185514285</v>
      </c>
    </row>
    <row r="486" spans="2:9" s="16" customFormat="1" ht="12.75">
      <c r="B486" s="16" t="s">
        <v>439</v>
      </c>
      <c r="D486" s="21"/>
      <c r="E486" s="21"/>
      <c r="H486" s="32">
        <v>15000</v>
      </c>
      <c r="I486" s="68">
        <f t="shared" si="13"/>
        <v>0.00022394240983285714</v>
      </c>
    </row>
    <row r="487" spans="2:9" s="16" customFormat="1" ht="12.75">
      <c r="B487" s="16" t="s">
        <v>440</v>
      </c>
      <c r="D487" s="21"/>
      <c r="E487" s="21"/>
      <c r="H487" s="32">
        <v>100000</v>
      </c>
      <c r="I487" s="68">
        <f t="shared" si="13"/>
        <v>0.0014929493988857143</v>
      </c>
    </row>
    <row r="488" spans="2:9" s="16" customFormat="1" ht="12.75">
      <c r="B488" s="16" t="s">
        <v>441</v>
      </c>
      <c r="D488" s="21"/>
      <c r="E488" s="21"/>
      <c r="H488" s="32">
        <v>100000</v>
      </c>
      <c r="I488" s="68">
        <f t="shared" si="13"/>
        <v>0.0014929493988857143</v>
      </c>
    </row>
    <row r="489" spans="2:9" s="16" customFormat="1" ht="12.75">
      <c r="B489" s="16" t="s">
        <v>442</v>
      </c>
      <c r="D489" s="21"/>
      <c r="E489" s="21"/>
      <c r="H489" s="32">
        <v>400000</v>
      </c>
      <c r="I489" s="68">
        <f t="shared" si="13"/>
        <v>0.005971797595542857</v>
      </c>
    </row>
    <row r="490" ht="12.75">
      <c r="H490" s="34"/>
    </row>
    <row r="491" spans="1:9" s="17" customFormat="1" ht="12.75">
      <c r="A491" s="17" t="s">
        <v>135</v>
      </c>
      <c r="B491" s="17" t="s">
        <v>94</v>
      </c>
      <c r="D491" s="18"/>
      <c r="E491" s="18"/>
      <c r="H491" s="35">
        <f>SUM(H498:H517)</f>
        <v>3064488</v>
      </c>
      <c r="I491" s="72">
        <f t="shared" si="13"/>
        <v>0.04575125517492484</v>
      </c>
    </row>
    <row r="492" spans="1:9" s="40" customFormat="1" ht="12.75">
      <c r="A492" s="6"/>
      <c r="B492" s="6" t="s">
        <v>366</v>
      </c>
      <c r="C492" s="6"/>
      <c r="D492" s="9"/>
      <c r="E492" s="9"/>
      <c r="F492" s="6"/>
      <c r="G492" s="6"/>
      <c r="H492" s="36"/>
      <c r="I492" s="66"/>
    </row>
    <row r="493" spans="1:9" s="40" customFormat="1" ht="12.75">
      <c r="A493" s="6"/>
      <c r="B493" s="6" t="s">
        <v>258</v>
      </c>
      <c r="C493" s="6"/>
      <c r="D493" s="9"/>
      <c r="E493" s="9"/>
      <c r="F493" s="6"/>
      <c r="G493" s="6"/>
      <c r="H493" s="36"/>
      <c r="I493" s="66"/>
    </row>
    <row r="494" spans="1:9" s="40" customFormat="1" ht="12.75">
      <c r="A494" s="6"/>
      <c r="B494" t="s">
        <v>257</v>
      </c>
      <c r="C494"/>
      <c r="D494" s="4"/>
      <c r="E494" s="4"/>
      <c r="F494"/>
      <c r="G494" s="6"/>
      <c r="H494" s="36"/>
      <c r="I494" s="66"/>
    </row>
    <row r="495" spans="1:9" s="40" customFormat="1" ht="12.75">
      <c r="A495" s="6"/>
      <c r="B495" t="s">
        <v>367</v>
      </c>
      <c r="C495"/>
      <c r="D495" s="4"/>
      <c r="E495" s="4"/>
      <c r="F495"/>
      <c r="G495" s="6"/>
      <c r="H495" s="36"/>
      <c r="I495" s="66"/>
    </row>
    <row r="496" spans="1:9" s="40" customFormat="1" ht="12.75">
      <c r="A496" s="6"/>
      <c r="B496" t="s">
        <v>255</v>
      </c>
      <c r="C496"/>
      <c r="D496" s="4"/>
      <c r="E496" s="4"/>
      <c r="F496"/>
      <c r="G496" s="6"/>
      <c r="H496" s="36"/>
      <c r="I496" s="66"/>
    </row>
    <row r="497" spans="1:9" s="40" customFormat="1" ht="12.75">
      <c r="A497" s="6"/>
      <c r="B497" t="s">
        <v>256</v>
      </c>
      <c r="C497"/>
      <c r="D497" s="4"/>
      <c r="E497" s="4"/>
      <c r="F497"/>
      <c r="G497" s="6"/>
      <c r="H497" s="36"/>
      <c r="I497" s="66"/>
    </row>
    <row r="498" spans="1:9" s="40" customFormat="1" ht="12.75">
      <c r="A498" s="6"/>
      <c r="B498" t="s">
        <v>456</v>
      </c>
      <c r="C498"/>
      <c r="D498" s="4"/>
      <c r="E498" s="4"/>
      <c r="F498"/>
      <c r="G498" s="6"/>
      <c r="H498" s="36">
        <v>100000</v>
      </c>
      <c r="I498" s="68">
        <f aca="true" t="shared" si="14" ref="I498:I527">$H498/$H$560</f>
        <v>0.0014929493988857143</v>
      </c>
    </row>
    <row r="499" spans="2:9" s="17" customFormat="1" ht="12.75">
      <c r="B499" t="s">
        <v>368</v>
      </c>
      <c r="D499" s="18"/>
      <c r="E499" s="18"/>
      <c r="H499" s="36">
        <v>497000</v>
      </c>
      <c r="I499" s="68">
        <f t="shared" si="14"/>
        <v>0.007419958512462</v>
      </c>
    </row>
    <row r="500" spans="2:9" s="17" customFormat="1" ht="12.75">
      <c r="B500" t="s">
        <v>443</v>
      </c>
      <c r="D500" s="18"/>
      <c r="E500" s="18"/>
      <c r="H500" s="36">
        <v>150000</v>
      </c>
      <c r="I500" s="68">
        <f t="shared" si="14"/>
        <v>0.0022394240983285713</v>
      </c>
    </row>
    <row r="501" spans="2:9" s="17" customFormat="1" ht="12.75">
      <c r="B501" t="s">
        <v>444</v>
      </c>
      <c r="D501" s="18"/>
      <c r="E501" s="18"/>
      <c r="H501" s="36">
        <v>65000</v>
      </c>
      <c r="I501" s="68">
        <f t="shared" si="14"/>
        <v>0.0009704171092757142</v>
      </c>
    </row>
    <row r="502" spans="2:9" s="17" customFormat="1" ht="12.75">
      <c r="B502" t="s">
        <v>445</v>
      </c>
      <c r="D502" s="18"/>
      <c r="E502" s="18"/>
      <c r="H502" s="36">
        <v>125000</v>
      </c>
      <c r="I502" s="68">
        <f t="shared" si="14"/>
        <v>0.0018661867486071428</v>
      </c>
    </row>
    <row r="503" spans="2:9" s="17" customFormat="1" ht="12.75">
      <c r="B503" t="s">
        <v>446</v>
      </c>
      <c r="D503" s="18"/>
      <c r="E503" s="18"/>
      <c r="H503" s="36">
        <v>105000</v>
      </c>
      <c r="I503" s="68">
        <f t="shared" si="14"/>
        <v>0.00156759686883</v>
      </c>
    </row>
    <row r="504" spans="2:9" s="17" customFormat="1" ht="12.75">
      <c r="B504" t="s">
        <v>447</v>
      </c>
      <c r="D504" s="18"/>
      <c r="E504" s="18"/>
      <c r="H504" s="36"/>
      <c r="I504" s="66"/>
    </row>
    <row r="505" spans="2:9" s="17" customFormat="1" ht="12.75">
      <c r="B505" t="s">
        <v>448</v>
      </c>
      <c r="D505" s="18"/>
      <c r="E505" s="18"/>
      <c r="H505" s="36">
        <v>4000</v>
      </c>
      <c r="I505" s="68">
        <f t="shared" si="14"/>
        <v>5.971797595542857E-05</v>
      </c>
    </row>
    <row r="506" spans="2:9" s="17" customFormat="1" ht="12.75">
      <c r="B506" t="s">
        <v>449</v>
      </c>
      <c r="D506" s="18"/>
      <c r="E506" s="18"/>
      <c r="H506" s="36"/>
      <c r="I506" s="66"/>
    </row>
    <row r="507" spans="2:9" s="17" customFormat="1" ht="12.75">
      <c r="B507" t="s">
        <v>450</v>
      </c>
      <c r="D507" s="18"/>
      <c r="E507" s="18"/>
      <c r="H507" s="36">
        <v>100000</v>
      </c>
      <c r="I507" s="68">
        <f t="shared" si="14"/>
        <v>0.0014929493988857143</v>
      </c>
    </row>
    <row r="508" spans="2:9" s="17" customFormat="1" ht="12.75">
      <c r="B508" t="s">
        <v>451</v>
      </c>
      <c r="D508" s="18"/>
      <c r="E508" s="18"/>
      <c r="H508" s="36">
        <v>30000</v>
      </c>
      <c r="I508" s="68">
        <f t="shared" si="14"/>
        <v>0.00044788481966571427</v>
      </c>
    </row>
    <row r="509" spans="2:9" s="17" customFormat="1" ht="12.75">
      <c r="B509" t="s">
        <v>452</v>
      </c>
      <c r="D509" s="18"/>
      <c r="E509" s="18"/>
      <c r="H509" s="36">
        <v>80000</v>
      </c>
      <c r="I509" s="68">
        <f t="shared" si="14"/>
        <v>0.0011943595191085713</v>
      </c>
    </row>
    <row r="510" spans="2:9" s="17" customFormat="1" ht="12.75">
      <c r="B510" t="s">
        <v>453</v>
      </c>
      <c r="D510" s="18"/>
      <c r="E510" s="18"/>
      <c r="H510" s="36">
        <v>150000</v>
      </c>
      <c r="I510" s="68">
        <f t="shared" si="14"/>
        <v>0.0022394240983285713</v>
      </c>
    </row>
    <row r="511" spans="2:9" s="17" customFormat="1" ht="12.75">
      <c r="B511" t="s">
        <v>454</v>
      </c>
      <c r="D511" s="18"/>
      <c r="E511" s="18"/>
      <c r="H511" s="36"/>
      <c r="I511" s="66"/>
    </row>
    <row r="512" spans="2:9" s="17" customFormat="1" ht="12.75">
      <c r="B512" t="s">
        <v>455</v>
      </c>
      <c r="D512" s="18"/>
      <c r="E512" s="18"/>
      <c r="H512" s="36">
        <v>22000</v>
      </c>
      <c r="I512" s="68">
        <f t="shared" si="14"/>
        <v>0.00032844886775485713</v>
      </c>
    </row>
    <row r="513" spans="2:9" s="16" customFormat="1" ht="12.75">
      <c r="B513" s="16" t="s">
        <v>457</v>
      </c>
      <c r="D513" s="21"/>
      <c r="E513" s="21"/>
      <c r="H513" s="32"/>
      <c r="I513" s="66"/>
    </row>
    <row r="514" spans="2:9" s="16" customFormat="1" ht="12.75">
      <c r="B514" s="16" t="s">
        <v>334</v>
      </c>
      <c r="D514" s="21"/>
      <c r="E514" s="21"/>
      <c r="H514" s="32">
        <v>875000</v>
      </c>
      <c r="I514" s="68">
        <f t="shared" si="14"/>
        <v>0.01306330724025</v>
      </c>
    </row>
    <row r="515" spans="2:8" ht="12.75">
      <c r="B515" t="s">
        <v>458</v>
      </c>
      <c r="H515" s="34"/>
    </row>
    <row r="516" spans="2:9" ht="12.75">
      <c r="B516" t="s">
        <v>335</v>
      </c>
      <c r="H516" s="34">
        <v>61488</v>
      </c>
      <c r="I516" s="68">
        <f t="shared" si="14"/>
        <v>0.000917984726386848</v>
      </c>
    </row>
    <row r="517" spans="2:9" ht="12.75">
      <c r="B517" t="s">
        <v>459</v>
      </c>
      <c r="H517" s="34">
        <v>700000</v>
      </c>
      <c r="I517" s="68">
        <f t="shared" si="14"/>
        <v>0.0104506457922</v>
      </c>
    </row>
    <row r="518" ht="12.75">
      <c r="H518" s="34"/>
    </row>
    <row r="519" spans="1:9" ht="12.75">
      <c r="A519" s="17" t="s">
        <v>154</v>
      </c>
      <c r="B519" s="17" t="s">
        <v>460</v>
      </c>
      <c r="H519" s="35">
        <f>H521</f>
        <v>129000</v>
      </c>
      <c r="I519" s="72">
        <f t="shared" si="14"/>
        <v>0.0019259047245625714</v>
      </c>
    </row>
    <row r="520" spans="2:8" ht="12.75">
      <c r="B520" t="s">
        <v>461</v>
      </c>
      <c r="H520" s="34"/>
    </row>
    <row r="521" spans="2:9" ht="12.75">
      <c r="B521" t="s">
        <v>462</v>
      </c>
      <c r="H521" s="34">
        <v>129000</v>
      </c>
      <c r="I521" s="68">
        <f t="shared" si="14"/>
        <v>0.0019259047245625714</v>
      </c>
    </row>
    <row r="522" ht="12.75">
      <c r="H522" s="34"/>
    </row>
    <row r="523" spans="1:9" s="17" customFormat="1" ht="12.75">
      <c r="A523" s="17" t="s">
        <v>138</v>
      </c>
      <c r="B523" s="17" t="s">
        <v>181</v>
      </c>
      <c r="D523" s="18"/>
      <c r="E523" s="18"/>
      <c r="H523" s="35">
        <f>SUM(H524:H546)</f>
        <v>7644254.72</v>
      </c>
      <c r="I523" s="72">
        <f t="shared" si="14"/>
        <v>0.11412485489153283</v>
      </c>
    </row>
    <row r="524" spans="2:9" s="16" customFormat="1" ht="12.75">
      <c r="B524" s="16" t="s">
        <v>249</v>
      </c>
      <c r="D524" s="21"/>
      <c r="E524" s="21"/>
      <c r="H524" s="32">
        <v>3300000</v>
      </c>
      <c r="I524" s="68">
        <f t="shared" si="14"/>
        <v>0.04926733016322857</v>
      </c>
    </row>
    <row r="525" spans="2:9" s="16" customFormat="1" ht="12.75">
      <c r="B525" t="s">
        <v>464</v>
      </c>
      <c r="C525"/>
      <c r="D525" s="4"/>
      <c r="E525" s="4"/>
      <c r="F525"/>
      <c r="G525"/>
      <c r="H525" s="34">
        <v>55000</v>
      </c>
      <c r="I525" s="68">
        <f t="shared" si="14"/>
        <v>0.0008211221693871429</v>
      </c>
    </row>
    <row r="526" spans="2:9" s="16" customFormat="1" ht="12.75">
      <c r="B526" s="16" t="s">
        <v>465</v>
      </c>
      <c r="D526" s="21"/>
      <c r="E526" s="21"/>
      <c r="H526" s="32"/>
      <c r="I526" s="66"/>
    </row>
    <row r="527" spans="2:9" s="16" customFormat="1" ht="12.75">
      <c r="B527" s="16" t="s">
        <v>466</v>
      </c>
      <c r="D527" s="21"/>
      <c r="E527" s="21"/>
      <c r="H527" s="32">
        <v>503254.72</v>
      </c>
      <c r="I527" s="68">
        <f t="shared" si="14"/>
        <v>0.007513338317103984</v>
      </c>
    </row>
    <row r="528" spans="2:9" s="16" customFormat="1" ht="12.75">
      <c r="B528" s="16" t="s">
        <v>250</v>
      </c>
      <c r="D528" s="21"/>
      <c r="E528" s="21"/>
      <c r="H528" s="32"/>
      <c r="I528" s="66"/>
    </row>
    <row r="529" spans="2:9" s="16" customFormat="1" ht="12.75">
      <c r="B529" s="16" t="s">
        <v>467</v>
      </c>
      <c r="D529" s="21"/>
      <c r="E529" s="21"/>
      <c r="I529" s="66"/>
    </row>
    <row r="530" spans="2:9" s="16" customFormat="1" ht="12.75">
      <c r="B530" s="16" t="s">
        <v>468</v>
      </c>
      <c r="D530" s="21"/>
      <c r="E530" s="21"/>
      <c r="H530" s="32"/>
      <c r="I530" s="66"/>
    </row>
    <row r="531" spans="2:9" s="16" customFormat="1" ht="12.75">
      <c r="B531" s="16" t="s">
        <v>469</v>
      </c>
      <c r="D531" s="21"/>
      <c r="E531" s="21"/>
      <c r="H531" s="32">
        <v>740000</v>
      </c>
      <c r="I531" s="68">
        <f>$H531/$H$560</f>
        <v>0.011047825551754285</v>
      </c>
    </row>
    <row r="532" spans="2:8" ht="12.75">
      <c r="B532" s="16" t="s">
        <v>470</v>
      </c>
      <c r="H532" s="34"/>
    </row>
    <row r="533" spans="2:8" ht="12.75">
      <c r="B533" s="16" t="s">
        <v>251</v>
      </c>
      <c r="H533" s="34"/>
    </row>
    <row r="534" spans="2:8" ht="12.75">
      <c r="B534" s="16" t="s">
        <v>252</v>
      </c>
      <c r="H534" s="34"/>
    </row>
    <row r="535" spans="2:9" ht="12.75">
      <c r="B535" s="16" t="s">
        <v>253</v>
      </c>
      <c r="H535" s="34">
        <v>1436000</v>
      </c>
      <c r="I535" s="68">
        <f aca="true" t="shared" si="15" ref="I535:I543">$H535/$H$560</f>
        <v>0.021438753367998855</v>
      </c>
    </row>
    <row r="536" spans="2:8" ht="12.75">
      <c r="B536" s="16" t="s">
        <v>471</v>
      </c>
      <c r="H536" s="34"/>
    </row>
    <row r="537" spans="2:9" ht="12.75">
      <c r="B537" s="16" t="s">
        <v>463</v>
      </c>
      <c r="H537" s="34">
        <v>500000</v>
      </c>
      <c r="I537" s="68">
        <f t="shared" si="15"/>
        <v>0.007464746994428571</v>
      </c>
    </row>
    <row r="538" spans="2:8" ht="12.75">
      <c r="B538" s="16" t="s">
        <v>87</v>
      </c>
      <c r="H538" s="34"/>
    </row>
    <row r="539" spans="2:9" ht="12.75">
      <c r="B539" s="16" t="s">
        <v>472</v>
      </c>
      <c r="H539" s="34">
        <v>130000</v>
      </c>
      <c r="I539" s="68">
        <f t="shared" si="15"/>
        <v>0.0019408342185514285</v>
      </c>
    </row>
    <row r="540" spans="2:8" ht="12.75">
      <c r="B540" s="16" t="s">
        <v>473</v>
      </c>
      <c r="H540" s="34"/>
    </row>
    <row r="541" spans="2:9" ht="12.75">
      <c r="B541" s="16" t="s">
        <v>474</v>
      </c>
      <c r="H541" s="34">
        <v>25000</v>
      </c>
      <c r="I541" s="68">
        <f t="shared" si="15"/>
        <v>0.0003732373497214286</v>
      </c>
    </row>
    <row r="542" spans="2:8" ht="12.75">
      <c r="B542" s="16" t="s">
        <v>475</v>
      </c>
      <c r="H542" s="34"/>
    </row>
    <row r="543" spans="2:9" ht="12.75">
      <c r="B543" s="16" t="s">
        <v>476</v>
      </c>
      <c r="H543" s="34">
        <v>900000</v>
      </c>
      <c r="I543" s="68">
        <f t="shared" si="15"/>
        <v>0.013436544589971428</v>
      </c>
    </row>
    <row r="544" spans="2:8" ht="12.75">
      <c r="B544" s="16" t="s">
        <v>477</v>
      </c>
      <c r="H544" s="34"/>
    </row>
    <row r="545" spans="2:8" ht="12.75">
      <c r="B545" s="16" t="s">
        <v>545</v>
      </c>
      <c r="H545" s="34"/>
    </row>
    <row r="546" spans="2:9" ht="12.75">
      <c r="B546" s="16" t="s">
        <v>478</v>
      </c>
      <c r="H546" s="34">
        <v>55000</v>
      </c>
      <c r="I546" s="68">
        <f>$H546/$H$560</f>
        <v>0.0008211221693871429</v>
      </c>
    </row>
    <row r="547" spans="2:8" ht="12.75">
      <c r="B547" s="16"/>
      <c r="H547" s="34"/>
    </row>
    <row r="548" spans="1:9" s="3" customFormat="1" ht="12.75">
      <c r="A548" s="3" t="s">
        <v>240</v>
      </c>
      <c r="B548" s="3" t="s">
        <v>241</v>
      </c>
      <c r="D548" s="8"/>
      <c r="E548" s="8"/>
      <c r="H548" s="33">
        <f>SUM(H551:H555)</f>
        <v>4300000</v>
      </c>
      <c r="I548" s="72">
        <f>$H548/$H$560</f>
        <v>0.0641968241520857</v>
      </c>
    </row>
    <row r="549" spans="2:8" ht="12.75">
      <c r="B549" t="s">
        <v>88</v>
      </c>
      <c r="H549" s="30"/>
    </row>
    <row r="550" spans="2:8" ht="12.75">
      <c r="B550" t="s">
        <v>89</v>
      </c>
      <c r="H550" s="30"/>
    </row>
    <row r="551" spans="2:9" ht="12.75">
      <c r="B551" t="s">
        <v>90</v>
      </c>
      <c r="H551" s="34">
        <v>3500000</v>
      </c>
      <c r="I551" s="68">
        <f>$H551/$H$560</f>
        <v>0.052253228961</v>
      </c>
    </row>
    <row r="552" spans="2:8" ht="12.75">
      <c r="B552" t="s">
        <v>479</v>
      </c>
      <c r="H552" s="34"/>
    </row>
    <row r="553" spans="2:8" ht="12.75">
      <c r="B553" t="s">
        <v>480</v>
      </c>
      <c r="H553" s="34"/>
    </row>
    <row r="554" spans="2:9" ht="12.75">
      <c r="B554" t="s">
        <v>481</v>
      </c>
      <c r="H554" s="34">
        <v>650000</v>
      </c>
      <c r="I554" s="68">
        <f aca="true" t="shared" si="16" ref="I554:I560">$H554/$H$560</f>
        <v>0.009704171092757143</v>
      </c>
    </row>
    <row r="555" spans="2:9" ht="12.75">
      <c r="B555" t="s">
        <v>482</v>
      </c>
      <c r="H555" s="34">
        <v>150000</v>
      </c>
      <c r="I555" s="68">
        <f t="shared" si="16"/>
        <v>0.0022394240983285713</v>
      </c>
    </row>
    <row r="556" ht="12.75">
      <c r="H556" s="34"/>
    </row>
    <row r="557" spans="1:9" ht="12.75">
      <c r="A557" s="3" t="s">
        <v>159</v>
      </c>
      <c r="B557" s="17" t="s">
        <v>254</v>
      </c>
      <c r="C557" s="17"/>
      <c r="D557" s="18"/>
      <c r="E557" s="18"/>
      <c r="F557" s="17"/>
      <c r="G557" s="17"/>
      <c r="H557" s="35">
        <f>H558</f>
        <v>500000</v>
      </c>
      <c r="I557" s="72">
        <f t="shared" si="16"/>
        <v>0.007464746994428571</v>
      </c>
    </row>
    <row r="558" spans="2:9" ht="12.75">
      <c r="B558" t="s">
        <v>483</v>
      </c>
      <c r="H558" s="34">
        <v>500000</v>
      </c>
      <c r="I558" s="68">
        <f t="shared" si="16"/>
        <v>0.007464746994428571</v>
      </c>
    </row>
    <row r="559" ht="12.75">
      <c r="H559" s="34"/>
    </row>
    <row r="560" spans="2:10" s="1" customFormat="1" ht="15">
      <c r="B560" s="1" t="s">
        <v>117</v>
      </c>
      <c r="D560" s="11"/>
      <c r="E560" s="11"/>
      <c r="H560" s="33">
        <f>H414+H239</f>
        <v>66981506.589999996</v>
      </c>
      <c r="I560" s="72">
        <f t="shared" si="16"/>
        <v>1</v>
      </c>
      <c r="J560" s="43"/>
    </row>
    <row r="561" spans="4:10" s="1" customFormat="1" ht="15">
      <c r="D561" s="11"/>
      <c r="E561" s="11"/>
      <c r="H561" s="33"/>
      <c r="I561" s="72"/>
      <c r="J561" s="43"/>
    </row>
    <row r="562" spans="4:10" s="1" customFormat="1" ht="15">
      <c r="D562" s="11"/>
      <c r="E562" s="11"/>
      <c r="H562" s="33"/>
      <c r="I562" s="66"/>
      <c r="J562" s="43"/>
    </row>
    <row r="563" spans="1:9" s="23" customFormat="1" ht="15">
      <c r="A563" s="22" t="s">
        <v>337</v>
      </c>
      <c r="D563" s="24"/>
      <c r="E563" s="24"/>
      <c r="H563" s="38"/>
      <c r="I563" s="66"/>
    </row>
    <row r="564" spans="1:9" s="23" customFormat="1" ht="15">
      <c r="A564" s="22"/>
      <c r="D564" s="24"/>
      <c r="E564" s="24"/>
      <c r="H564" s="38"/>
      <c r="I564" s="66"/>
    </row>
    <row r="565" spans="6:8" ht="12.75">
      <c r="F565" s="4"/>
      <c r="G565" s="4"/>
      <c r="H565" s="57" t="s">
        <v>302</v>
      </c>
    </row>
    <row r="566" spans="1:9" s="17" customFormat="1" ht="12.75">
      <c r="A566" s="17" t="s">
        <v>138</v>
      </c>
      <c r="B566" s="17" t="s">
        <v>165</v>
      </c>
      <c r="D566" s="18"/>
      <c r="E566" s="18"/>
      <c r="H566" s="29"/>
      <c r="I566" s="66"/>
    </row>
    <row r="567" spans="4:9" s="17" customFormat="1" ht="12.75">
      <c r="D567" s="18"/>
      <c r="E567" s="18"/>
      <c r="H567" s="29"/>
      <c r="I567" s="66"/>
    </row>
    <row r="568" spans="2:9" s="17" customFormat="1" ht="12.75">
      <c r="B568" s="17" t="s">
        <v>484</v>
      </c>
      <c r="D568" s="18"/>
      <c r="E568" s="18"/>
      <c r="H568" s="29">
        <v>411535</v>
      </c>
      <c r="I568" s="66"/>
    </row>
    <row r="569" spans="2:9" s="54" customFormat="1" ht="12.75">
      <c r="B569" s="54" t="s">
        <v>336</v>
      </c>
      <c r="D569" s="55"/>
      <c r="E569" s="55"/>
      <c r="H569" s="56">
        <f>SUM(H572:H574)</f>
        <v>67000</v>
      </c>
      <c r="I569" s="69"/>
    </row>
    <row r="570" spans="2:9" s="25" customFormat="1" ht="12.75">
      <c r="B570" s="16" t="s">
        <v>103</v>
      </c>
      <c r="D570" s="74"/>
      <c r="E570" s="74"/>
      <c r="H570" s="75"/>
      <c r="I570" s="69"/>
    </row>
    <row r="571" spans="2:9" s="16" customFormat="1" ht="12.75">
      <c r="B571" s="16" t="s">
        <v>527</v>
      </c>
      <c r="D571" s="21"/>
      <c r="E571" s="21"/>
      <c r="H571" s="73"/>
      <c r="I571" s="66"/>
    </row>
    <row r="572" spans="2:9" s="16" customFormat="1" ht="12.75">
      <c r="B572" s="16" t="s">
        <v>528</v>
      </c>
      <c r="D572" s="21"/>
      <c r="E572" s="21"/>
      <c r="H572" s="73"/>
      <c r="I572" s="66"/>
    </row>
    <row r="573" spans="2:9" s="16" customFormat="1" ht="12.75">
      <c r="B573" s="16" t="s">
        <v>529</v>
      </c>
      <c r="D573" s="21"/>
      <c r="E573" s="21"/>
      <c r="H573" s="73">
        <v>65000</v>
      </c>
      <c r="I573" s="66"/>
    </row>
    <row r="574" spans="2:9" s="16" customFormat="1" ht="12.75">
      <c r="B574" s="16" t="s">
        <v>369</v>
      </c>
      <c r="D574" s="21"/>
      <c r="E574" s="21"/>
      <c r="H574" s="73">
        <v>2000</v>
      </c>
      <c r="I574" s="66"/>
    </row>
    <row r="575" spans="4:9" s="16" customFormat="1" ht="12.75">
      <c r="D575" s="21"/>
      <c r="E575" s="21"/>
      <c r="H575" s="73"/>
      <c r="I575" s="66"/>
    </row>
    <row r="576" spans="2:9" s="54" customFormat="1" ht="12.75">
      <c r="B576" s="54" t="s">
        <v>162</v>
      </c>
      <c r="D576" s="55"/>
      <c r="E576" s="55"/>
      <c r="H576" s="56">
        <f>SUM(H579:H598)</f>
        <v>468000</v>
      </c>
      <c r="I576" s="69"/>
    </row>
    <row r="577" spans="2:9" s="16" customFormat="1" ht="12.75">
      <c r="B577" s="16" t="s">
        <v>103</v>
      </c>
      <c r="D577" s="21"/>
      <c r="E577" s="21"/>
      <c r="H577" s="73"/>
      <c r="I577" s="66"/>
    </row>
    <row r="578" spans="2:9" s="16" customFormat="1" ht="12.75">
      <c r="B578" s="16" t="s">
        <v>370</v>
      </c>
      <c r="D578" s="21"/>
      <c r="E578" s="21"/>
      <c r="H578" s="73"/>
      <c r="I578" s="66"/>
    </row>
    <row r="579" spans="2:9" s="16" customFormat="1" ht="12.75">
      <c r="B579" s="16" t="s">
        <v>350</v>
      </c>
      <c r="D579" s="21"/>
      <c r="E579" s="21"/>
      <c r="H579" s="73">
        <v>2000</v>
      </c>
      <c r="I579" s="66"/>
    </row>
    <row r="580" spans="2:10" s="16" customFormat="1" ht="12.75">
      <c r="B580" s="16" t="s">
        <v>351</v>
      </c>
      <c r="D580" s="21"/>
      <c r="E580" s="21"/>
      <c r="F580" s="76"/>
      <c r="H580" s="73">
        <v>25000</v>
      </c>
      <c r="I580" s="66"/>
      <c r="J580" s="73"/>
    </row>
    <row r="581" spans="2:9" s="16" customFormat="1" ht="12.75">
      <c r="B581" s="16" t="s">
        <v>352</v>
      </c>
      <c r="D581" s="21"/>
      <c r="E581" s="21"/>
      <c r="H581" s="73"/>
      <c r="I581" s="66"/>
    </row>
    <row r="582" spans="2:9" s="16" customFormat="1" ht="12.75">
      <c r="B582" s="16" t="s">
        <v>289</v>
      </c>
      <c r="D582" s="21"/>
      <c r="E582" s="21"/>
      <c r="H582" s="73"/>
      <c r="I582" s="66"/>
    </row>
    <row r="583" spans="2:9" s="16" customFormat="1" ht="12.75">
      <c r="B583" s="16" t="s">
        <v>290</v>
      </c>
      <c r="D583" s="21"/>
      <c r="E583" s="21"/>
      <c r="F583" s="76"/>
      <c r="H583" s="73">
        <v>5000</v>
      </c>
      <c r="I583" s="66"/>
    </row>
    <row r="584" spans="2:9" s="16" customFormat="1" ht="12.75">
      <c r="B584" s="16" t="s">
        <v>360</v>
      </c>
      <c r="D584" s="21"/>
      <c r="E584" s="21"/>
      <c r="F584" s="76"/>
      <c r="H584" s="73">
        <v>8000</v>
      </c>
      <c r="I584" s="66"/>
    </row>
    <row r="585" spans="2:9" s="16" customFormat="1" ht="12.75">
      <c r="B585" s="16" t="s">
        <v>353</v>
      </c>
      <c r="D585" s="21"/>
      <c r="E585" s="21"/>
      <c r="F585" s="76"/>
      <c r="H585" s="73"/>
      <c r="I585" s="66"/>
    </row>
    <row r="586" spans="2:9" s="16" customFormat="1" ht="12.75">
      <c r="B586" s="16" t="s">
        <v>292</v>
      </c>
      <c r="D586" s="21"/>
      <c r="E586" s="21"/>
      <c r="F586" s="76"/>
      <c r="H586" s="73"/>
      <c r="I586" s="66"/>
    </row>
    <row r="587" spans="2:9" s="16" customFormat="1" ht="12.75">
      <c r="B587" s="16" t="s">
        <v>293</v>
      </c>
      <c r="D587" s="21"/>
      <c r="E587" s="21"/>
      <c r="F587" s="76"/>
      <c r="H587" s="73">
        <v>15000</v>
      </c>
      <c r="I587" s="66"/>
    </row>
    <row r="588" spans="2:9" s="16" customFormat="1" ht="12.75">
      <c r="B588" s="26" t="s">
        <v>354</v>
      </c>
      <c r="D588" s="21"/>
      <c r="E588" s="21"/>
      <c r="F588" s="76"/>
      <c r="H588" s="73">
        <v>30000</v>
      </c>
      <c r="I588" s="66"/>
    </row>
    <row r="589" spans="2:9" s="16" customFormat="1" ht="12.75">
      <c r="B589" s="16" t="s">
        <v>355</v>
      </c>
      <c r="D589" s="21"/>
      <c r="E589" s="21"/>
      <c r="F589" s="76"/>
      <c r="H589" s="73">
        <v>177000</v>
      </c>
      <c r="I589" s="66"/>
    </row>
    <row r="590" spans="2:9" s="16" customFormat="1" ht="12.75">
      <c r="B590" s="16" t="s">
        <v>356</v>
      </c>
      <c r="D590" s="21"/>
      <c r="E590" s="21"/>
      <c r="F590" s="76"/>
      <c r="H590" s="73">
        <v>25000</v>
      </c>
      <c r="I590" s="66"/>
    </row>
    <row r="591" spans="2:9" s="16" customFormat="1" ht="12.75">
      <c r="B591" s="16" t="s">
        <v>357</v>
      </c>
      <c r="D591" s="21"/>
      <c r="E591" s="21"/>
      <c r="F591" s="76"/>
      <c r="H591" s="73"/>
      <c r="I591" s="66"/>
    </row>
    <row r="592" spans="2:9" s="16" customFormat="1" ht="12.75">
      <c r="B592" s="16" t="s">
        <v>291</v>
      </c>
      <c r="D592" s="21"/>
      <c r="E592" s="21"/>
      <c r="F592" s="76"/>
      <c r="H592" s="73">
        <v>20000</v>
      </c>
      <c r="I592" s="66"/>
    </row>
    <row r="593" spans="2:9" s="16" customFormat="1" ht="12.75">
      <c r="B593" s="16" t="s">
        <v>530</v>
      </c>
      <c r="D593" s="21"/>
      <c r="E593" s="21"/>
      <c r="F593" s="77"/>
      <c r="H593" s="73">
        <v>10000</v>
      </c>
      <c r="I593" s="66"/>
    </row>
    <row r="594" spans="2:9" s="16" customFormat="1" ht="12.75">
      <c r="B594" s="16" t="s">
        <v>358</v>
      </c>
      <c r="D594" s="21"/>
      <c r="E594" s="21"/>
      <c r="F594" s="76"/>
      <c r="H594" s="73">
        <v>50000</v>
      </c>
      <c r="I594" s="66"/>
    </row>
    <row r="595" spans="2:9" s="16" customFormat="1" ht="12.75">
      <c r="B595" s="16" t="s">
        <v>359</v>
      </c>
      <c r="D595" s="21"/>
      <c r="E595" s="21"/>
      <c r="F595" s="76"/>
      <c r="H595" s="73">
        <v>500</v>
      </c>
      <c r="I595" s="66"/>
    </row>
    <row r="596" spans="2:9" s="16" customFormat="1" ht="12.75">
      <c r="B596" s="16" t="s">
        <v>349</v>
      </c>
      <c r="D596" s="21"/>
      <c r="E596" s="21"/>
      <c r="F596" s="76"/>
      <c r="H596" s="73">
        <v>500</v>
      </c>
      <c r="I596" s="66"/>
    </row>
    <row r="597" spans="2:9" s="16" customFormat="1" ht="12.75">
      <c r="B597" s="16" t="s">
        <v>531</v>
      </c>
      <c r="D597" s="21"/>
      <c r="E597" s="21"/>
      <c r="F597" s="76"/>
      <c r="H597" s="73"/>
      <c r="I597" s="66"/>
    </row>
    <row r="598" spans="2:9" s="16" customFormat="1" ht="12.75">
      <c r="B598" s="16" t="s">
        <v>532</v>
      </c>
      <c r="D598" s="21"/>
      <c r="E598" s="21"/>
      <c r="F598" s="76"/>
      <c r="H598" s="73">
        <v>100000</v>
      </c>
      <c r="I598" s="66"/>
    </row>
    <row r="599" spans="4:9" s="16" customFormat="1" ht="12.75">
      <c r="D599" s="21"/>
      <c r="E599" s="21"/>
      <c r="F599" s="21"/>
      <c r="H599" s="73"/>
      <c r="I599" s="66"/>
    </row>
    <row r="600" spans="2:9" s="17" customFormat="1" ht="12.75">
      <c r="B600" s="17" t="s">
        <v>485</v>
      </c>
      <c r="D600" s="18"/>
      <c r="E600" s="18"/>
      <c r="F600" s="18"/>
      <c r="H600" s="29">
        <f>H568+H569-H576</f>
        <v>10535</v>
      </c>
      <c r="I600" s="66"/>
    </row>
    <row r="601" spans="4:9" s="17" customFormat="1" ht="12.75">
      <c r="D601" s="18"/>
      <c r="E601" s="18"/>
      <c r="F601" s="18"/>
      <c r="H601" s="29"/>
      <c r="I601" s="66"/>
    </row>
    <row r="602" ht="12.75">
      <c r="H602" s="30"/>
    </row>
    <row r="603" spans="1:9" s="17" customFormat="1" ht="12.75">
      <c r="A603" s="17" t="s">
        <v>138</v>
      </c>
      <c r="B603" s="17" t="s">
        <v>163</v>
      </c>
      <c r="D603" s="18"/>
      <c r="E603" s="18"/>
      <c r="H603" s="29"/>
      <c r="I603" s="66"/>
    </row>
    <row r="604" spans="4:9" s="17" customFormat="1" ht="12.75">
      <c r="D604" s="18"/>
      <c r="E604" s="18"/>
      <c r="H604" s="29"/>
      <c r="I604" s="66"/>
    </row>
    <row r="605" spans="2:9" s="17" customFormat="1" ht="12.75">
      <c r="B605" s="17" t="s">
        <v>486</v>
      </c>
      <c r="D605" s="18"/>
      <c r="E605" s="18"/>
      <c r="H605" s="29">
        <v>-132202.99</v>
      </c>
      <c r="I605" s="66"/>
    </row>
    <row r="606" spans="2:9" s="54" customFormat="1" ht="12.75">
      <c r="B606" s="54" t="s">
        <v>161</v>
      </c>
      <c r="D606" s="55"/>
      <c r="E606" s="55"/>
      <c r="H606" s="56">
        <f>SUM(F611:F620)</f>
        <v>4430700</v>
      </c>
      <c r="I606" s="69"/>
    </row>
    <row r="607" spans="2:8" ht="12.75">
      <c r="B607" t="s">
        <v>103</v>
      </c>
      <c r="H607" s="30"/>
    </row>
    <row r="608" ht="12.75">
      <c r="H608" s="30"/>
    </row>
    <row r="609" spans="2:8" ht="12.75">
      <c r="B609" t="s">
        <v>172</v>
      </c>
      <c r="H609" s="30"/>
    </row>
    <row r="610" spans="2:8" ht="12.75">
      <c r="B610" t="s">
        <v>173</v>
      </c>
      <c r="H610" s="30"/>
    </row>
    <row r="611" spans="2:8" ht="12.75">
      <c r="B611" t="s">
        <v>489</v>
      </c>
      <c r="F611" s="39">
        <f>2106600+1381600+115000</f>
        <v>3603200</v>
      </c>
      <c r="G611" s="4"/>
      <c r="H611" s="30"/>
    </row>
    <row r="612" spans="2:8" ht="12.75">
      <c r="B612" t="s">
        <v>487</v>
      </c>
      <c r="F612" s="39"/>
      <c r="G612" s="4"/>
      <c r="H612" s="30"/>
    </row>
    <row r="613" spans="2:8" ht="12.75">
      <c r="B613" s="6" t="s">
        <v>538</v>
      </c>
      <c r="F613" s="39"/>
      <c r="G613" s="4"/>
      <c r="H613" s="30"/>
    </row>
    <row r="614" spans="2:8" ht="12.75">
      <c r="B614" s="6" t="s">
        <v>294</v>
      </c>
      <c r="F614" s="39">
        <v>37500</v>
      </c>
      <c r="G614" s="4"/>
      <c r="H614" s="30"/>
    </row>
    <row r="615" spans="2:8" ht="12.75">
      <c r="B615" t="s">
        <v>242</v>
      </c>
      <c r="F615" s="39"/>
      <c r="G615" s="4"/>
      <c r="H615" s="30"/>
    </row>
    <row r="616" spans="2:8" ht="12.75">
      <c r="B616" s="6" t="s">
        <v>539</v>
      </c>
      <c r="F616" s="39"/>
      <c r="G616" s="4"/>
      <c r="H616" s="30"/>
    </row>
    <row r="617" spans="2:8" ht="12.75">
      <c r="B617" s="6" t="s">
        <v>540</v>
      </c>
      <c r="F617" s="39">
        <v>50000</v>
      </c>
      <c r="G617" s="4"/>
      <c r="H617" s="30"/>
    </row>
    <row r="618" spans="2:8" ht="12.75">
      <c r="B618" s="6" t="s">
        <v>488</v>
      </c>
      <c r="F618" s="39"/>
      <c r="G618" s="4"/>
      <c r="H618" s="30"/>
    </row>
    <row r="619" spans="2:8" ht="12.75">
      <c r="B619" s="6" t="s">
        <v>541</v>
      </c>
      <c r="F619" s="39"/>
      <c r="G619" s="4"/>
      <c r="H619" s="30"/>
    </row>
    <row r="620" spans="2:8" ht="12.75">
      <c r="B620" s="6" t="s">
        <v>542</v>
      </c>
      <c r="F620" s="39">
        <v>740000</v>
      </c>
      <c r="G620" s="4"/>
      <c r="H620" s="30"/>
    </row>
    <row r="621" spans="2:8" ht="12.75">
      <c r="B621" s="6"/>
      <c r="F621" s="39"/>
      <c r="G621" s="4"/>
      <c r="H621" s="30"/>
    </row>
    <row r="622" spans="2:9" s="54" customFormat="1" ht="12.75">
      <c r="B622" s="54" t="s">
        <v>338</v>
      </c>
      <c r="D622" s="55"/>
      <c r="E622" s="55"/>
      <c r="F622" s="58"/>
      <c r="G622" s="55"/>
      <c r="H622" s="56">
        <f>SUM(F624:F646)</f>
        <v>4298497.01</v>
      </c>
      <c r="I622" s="69"/>
    </row>
    <row r="623" spans="2:8" ht="12.75">
      <c r="B623" t="s">
        <v>103</v>
      </c>
      <c r="F623" s="42"/>
      <c r="G623" s="4"/>
      <c r="H623" s="30"/>
    </row>
    <row r="624" spans="2:8" ht="12.75">
      <c r="B624" t="s">
        <v>490</v>
      </c>
      <c r="F624" s="39">
        <f>1781000+20000+310000+38000</f>
        <v>2149000</v>
      </c>
      <c r="G624" s="4"/>
      <c r="H624" s="30"/>
    </row>
    <row r="625" spans="2:8" ht="12.75">
      <c r="B625" t="s">
        <v>339</v>
      </c>
      <c r="F625" s="39">
        <v>52000</v>
      </c>
      <c r="G625" s="4"/>
      <c r="H625" s="30"/>
    </row>
    <row r="626" spans="2:8" ht="12.75">
      <c r="B626" t="s">
        <v>341</v>
      </c>
      <c r="F626" s="39"/>
      <c r="G626" s="4"/>
      <c r="H626" s="30"/>
    </row>
    <row r="627" spans="2:8" ht="12.75">
      <c r="B627" t="s">
        <v>164</v>
      </c>
      <c r="F627" s="39">
        <f>433000+4500</f>
        <v>437500</v>
      </c>
      <c r="G627" s="4"/>
      <c r="H627" s="30"/>
    </row>
    <row r="628" spans="2:8" ht="12.75">
      <c r="B628" t="s">
        <v>342</v>
      </c>
      <c r="F628" s="39">
        <v>41300</v>
      </c>
      <c r="G628" s="4"/>
      <c r="H628" s="30"/>
    </row>
    <row r="629" spans="2:8" ht="12.75">
      <c r="B629" t="s">
        <v>343</v>
      </c>
      <c r="F629" s="39"/>
      <c r="G629" s="4"/>
      <c r="H629" s="30"/>
    </row>
    <row r="630" spans="2:8" ht="12.75">
      <c r="B630" t="s">
        <v>340</v>
      </c>
      <c r="F630" s="39"/>
      <c r="G630" s="4"/>
      <c r="H630" s="30"/>
    </row>
    <row r="631" spans="2:8" ht="12.75">
      <c r="B631" t="s">
        <v>491</v>
      </c>
      <c r="F631" s="39">
        <f>746100-132202.99</f>
        <v>613897.01</v>
      </c>
      <c r="G631" s="4"/>
      <c r="H631" s="30"/>
    </row>
    <row r="632" spans="2:8" ht="12.75">
      <c r="B632" t="s">
        <v>492</v>
      </c>
      <c r="F632" s="39">
        <v>35000</v>
      </c>
      <c r="G632" s="4"/>
      <c r="H632" s="30"/>
    </row>
    <row r="633" spans="2:8" ht="12.75">
      <c r="B633" t="s">
        <v>344</v>
      </c>
      <c r="F633" s="39">
        <v>6000</v>
      </c>
      <c r="G633" s="4"/>
      <c r="H633" s="30"/>
    </row>
    <row r="634" spans="2:8" ht="12.75">
      <c r="B634" s="6" t="s">
        <v>345</v>
      </c>
      <c r="F634" s="39">
        <v>40000</v>
      </c>
      <c r="G634" s="4"/>
      <c r="H634" s="30"/>
    </row>
    <row r="635" spans="2:8" ht="12.75">
      <c r="B635" s="6" t="s">
        <v>346</v>
      </c>
      <c r="F635" s="39">
        <v>49000</v>
      </c>
      <c r="G635" s="4"/>
      <c r="H635" s="30"/>
    </row>
    <row r="636" spans="2:8" ht="12.75">
      <c r="B636" s="41" t="s">
        <v>493</v>
      </c>
      <c r="F636" s="39">
        <v>35000</v>
      </c>
      <c r="G636" s="4"/>
      <c r="H636" s="30"/>
    </row>
    <row r="637" spans="2:8" ht="12.75">
      <c r="B637" t="s">
        <v>494</v>
      </c>
      <c r="F637" s="64">
        <v>4000</v>
      </c>
      <c r="G637" s="4"/>
      <c r="H637" s="30"/>
    </row>
    <row r="638" spans="2:8" ht="12.75">
      <c r="B638" t="s">
        <v>495</v>
      </c>
      <c r="F638" s="64">
        <v>3500</v>
      </c>
      <c r="G638" s="4"/>
      <c r="H638" s="30"/>
    </row>
    <row r="639" spans="2:8" ht="12.75">
      <c r="B639" t="s">
        <v>347</v>
      </c>
      <c r="F639" s="64">
        <v>51000</v>
      </c>
      <c r="G639" s="4"/>
      <c r="H639" s="30"/>
    </row>
    <row r="640" spans="2:8" ht="12.75">
      <c r="B640" t="s">
        <v>348</v>
      </c>
      <c r="F640" s="64">
        <f>10000+3000</f>
        <v>13000</v>
      </c>
      <c r="G640" s="4"/>
      <c r="H640" s="30"/>
    </row>
    <row r="641" spans="2:8" ht="12.75">
      <c r="B641" t="s">
        <v>371</v>
      </c>
      <c r="F641" s="64">
        <v>4000</v>
      </c>
      <c r="G641" s="4"/>
      <c r="H641" s="30"/>
    </row>
    <row r="642" spans="2:8" ht="12.75">
      <c r="B642" t="s">
        <v>496</v>
      </c>
      <c r="F642" s="64">
        <f>2800+2000</f>
        <v>4800</v>
      </c>
      <c r="G642" s="4"/>
      <c r="H642" s="30"/>
    </row>
    <row r="643" spans="2:8" ht="12.75">
      <c r="B643" t="s">
        <v>497</v>
      </c>
      <c r="F643" s="64">
        <v>5500</v>
      </c>
      <c r="G643" s="4"/>
      <c r="H643" s="30"/>
    </row>
    <row r="644" spans="2:8" ht="12.75">
      <c r="B644" t="s">
        <v>498</v>
      </c>
      <c r="F644" s="64">
        <v>6000</v>
      </c>
      <c r="G644" s="4"/>
      <c r="H644" s="30"/>
    </row>
    <row r="645" spans="2:8" ht="12.75">
      <c r="B645" t="s">
        <v>499</v>
      </c>
      <c r="F645" s="64"/>
      <c r="G645" s="4"/>
      <c r="H645" s="30"/>
    </row>
    <row r="646" spans="2:8" ht="12.75">
      <c r="B646" t="s">
        <v>500</v>
      </c>
      <c r="F646" s="64">
        <v>748000</v>
      </c>
      <c r="G646" s="4"/>
      <c r="H646" s="30"/>
    </row>
    <row r="647" spans="6:8" ht="12.75">
      <c r="F647" s="4"/>
      <c r="G647" s="4"/>
      <c r="H647" s="30"/>
    </row>
    <row r="648" spans="2:9" s="17" customFormat="1" ht="12.75">
      <c r="B648" s="17" t="s">
        <v>485</v>
      </c>
      <c r="D648" s="18"/>
      <c r="E648" s="18"/>
      <c r="F648" s="18"/>
      <c r="G648" s="18"/>
      <c r="H648" s="29">
        <f>H605+H606-H622</f>
        <v>0</v>
      </c>
      <c r="I648" s="66"/>
    </row>
    <row r="649" spans="6:8" ht="12.75">
      <c r="F649" s="4"/>
      <c r="G649" s="4"/>
      <c r="H649" s="30"/>
    </row>
    <row r="650" spans="2:5" ht="12.75">
      <c r="B650" s="16" t="s">
        <v>526</v>
      </c>
      <c r="C650" s="16"/>
      <c r="D650" s="21"/>
      <c r="E650" s="21"/>
    </row>
    <row r="651" ht="12.75">
      <c r="A651" t="s">
        <v>501</v>
      </c>
    </row>
  </sheetData>
  <printOptions/>
  <pageMargins left="0" right="0" top="0.7874015748031497" bottom="0.5905511811023623" header="0.11811023622047245" footer="0.31496062992125984"/>
  <pageSetup horizontalDpi="600" verticalDpi="600" orientation="portrait" paperSize="9" scale="90" r:id="rId1"/>
  <headerFooter alignWithMargins="0">
    <oddHeader>&amp;C&amp;F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Wanda Konarzewska</dc:creator>
  <cp:keywords/>
  <dc:description/>
  <cp:lastModifiedBy>xxx</cp:lastModifiedBy>
  <cp:lastPrinted>2008-11-13T10:36:19Z</cp:lastPrinted>
  <dcterms:created xsi:type="dcterms:W3CDTF">2001-11-07T14:31:48Z</dcterms:created>
  <dcterms:modified xsi:type="dcterms:W3CDTF">2008-11-13T10:36:55Z</dcterms:modified>
  <cp:category/>
  <cp:version/>
  <cp:contentType/>
  <cp:contentStatus/>
</cp:coreProperties>
</file>