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<sst xmlns="http://schemas.openxmlformats.org/spreadsheetml/2006/main" count="179" uniqueCount="114">
  <si>
    <t>Przewidywane</t>
  </si>
  <si>
    <t>Wykonanie</t>
  </si>
  <si>
    <t>w roku 1997r.</t>
  </si>
  <si>
    <t>OŚWIATA  I  WYCHOWANIE</t>
  </si>
  <si>
    <t>OCHRONA  ZDROWIA</t>
  </si>
  <si>
    <t>z tego:</t>
  </si>
  <si>
    <t>bieżące</t>
  </si>
  <si>
    <t>Pozostała  działalność</t>
  </si>
  <si>
    <t>w tym:</t>
  </si>
  <si>
    <t>Drogi publiczne gminne</t>
  </si>
  <si>
    <t>Pozostała działalność</t>
  </si>
  <si>
    <t>Ochotnicze straże pożarne</t>
  </si>
  <si>
    <t>Opracowania geodezyjne i kartograf.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</si>
  <si>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</si>
  <si>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</si>
  <si>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</si>
  <si>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</si>
  <si>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</si>
  <si>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</si>
  <si>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Straż Miejska</t>
  </si>
  <si>
    <t>Komendy powiatowe Policji</t>
  </si>
  <si>
    <t>RÓŻNE ROZLICZENIA</t>
  </si>
  <si>
    <t>Rezerwy ogólne i celowe</t>
  </si>
  <si>
    <t>O10</t>
  </si>
  <si>
    <t>O1095</t>
  </si>
  <si>
    <t>TRANSPORT  I  ŁĄCZNOŚĆ</t>
  </si>
  <si>
    <t>ROLNICTWO I ŁOWIECTWO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</si>
  <si>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</si>
  <si>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</si>
  <si>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</si>
  <si>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</si>
  <si>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</si>
  <si>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</si>
  <si>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</si>
  <si>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</si>
  <si>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</si>
  <si>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</si>
  <si>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</si>
  <si>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</si>
  <si>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</si>
  <si>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</si>
  <si>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</si>
  <si>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</si>
  <si>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</si>
  <si>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</si>
  <si>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</si>
  <si>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</si>
  <si>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</si>
  <si>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</si>
  <si>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</si>
  <si>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</si>
  <si>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</si>
  <si>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</si>
  <si>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</si>
  <si>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</si>
  <si>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</si>
  <si>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</si>
  <si>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</si>
  <si>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</si>
  <si>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</si>
  <si>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</si>
  <si>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</si>
  <si>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KULTURA FIZYCZNA I SPORT</t>
  </si>
  <si>
    <t>OGÓŁEM</t>
  </si>
  <si>
    <t>Różne rozliczenia finansowe</t>
  </si>
  <si>
    <t>Plan  na  rok 2001</t>
  </si>
  <si>
    <t>przed</t>
  </si>
  <si>
    <t>zmianami</t>
  </si>
  <si>
    <t>O1030</t>
  </si>
  <si>
    <t>Izby rolnicze</t>
  </si>
  <si>
    <t>Cmentarze</t>
  </si>
  <si>
    <t xml:space="preserve">Szkoły podstawowe          </t>
  </si>
  <si>
    <t xml:space="preserve">Gimnazja                 </t>
  </si>
  <si>
    <t>Zakłady gospodarki komunalnej</t>
  </si>
  <si>
    <t>Dokształcanie i doskonalenie nauczycieli</t>
  </si>
  <si>
    <t>Składki na ubezpieczenie zdrowotne opłacane</t>
  </si>
  <si>
    <t>za osoby pobierające niektóre świadczenia</t>
  </si>
  <si>
    <t>na ubezpieczenia społeczne</t>
  </si>
  <si>
    <t>POMOC  SPOŁECZNA</t>
  </si>
  <si>
    <t xml:space="preserve">Przedszkola </t>
  </si>
  <si>
    <t xml:space="preserve">z pomocy społecznej oraz niektóre </t>
  </si>
  <si>
    <t>świadczenia rodzinne</t>
  </si>
  <si>
    <t>a także szkolenia młodzieży</t>
  </si>
  <si>
    <t>Pomoc materialna dla uczniów</t>
  </si>
  <si>
    <t>podstawowych</t>
  </si>
  <si>
    <t xml:space="preserve">Oddziały przedszkolne w szkołach </t>
  </si>
  <si>
    <t>Zwalczanie narkomanii</t>
  </si>
  <si>
    <t>oraz skł.na ubezp.emeryt.i rent.z ubezp.społ.</t>
  </si>
  <si>
    <t>Świadczenia rodzinne, zaliczka alimentac.</t>
  </si>
  <si>
    <t>Dział</t>
  </si>
  <si>
    <t>rozdz.</t>
  </si>
  <si>
    <t>Stołówki szkolne</t>
  </si>
  <si>
    <t>Promocja jednostek samorządu terytorialnego</t>
  </si>
  <si>
    <t xml:space="preserve">Plan na </t>
  </si>
  <si>
    <t>rok 2009</t>
  </si>
  <si>
    <t>Zarządzanie kryzysowe</t>
  </si>
  <si>
    <t>Wydatki budżetu Gminy Międzyzdroje</t>
  </si>
  <si>
    <t>w 2009r.</t>
  </si>
  <si>
    <t>Nazwa</t>
  </si>
  <si>
    <t xml:space="preserve">Wydatki </t>
  </si>
  <si>
    <t>Pochodne od</t>
  </si>
  <si>
    <t xml:space="preserve">wynagrodzeń </t>
  </si>
  <si>
    <t>Dotacje</t>
  </si>
  <si>
    <t>Wydatki na</t>
  </si>
  <si>
    <t>obsłgę długu</t>
  </si>
  <si>
    <t>z tyt.poręczń</t>
  </si>
  <si>
    <t>i gwarancji</t>
  </si>
  <si>
    <t>Wydatki</t>
  </si>
  <si>
    <t>majątkowe</t>
  </si>
  <si>
    <t>Wynagrodzenia</t>
  </si>
  <si>
    <t xml:space="preserve">do uchwały Nr </t>
  </si>
  <si>
    <t>Rady Miejskiej w Międzyzdrojach</t>
  </si>
  <si>
    <t>z dnia</t>
  </si>
  <si>
    <t>Załącznik 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</si>
</sst>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4" fontId="1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4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/>
    </xf>
    <xf numFmtId="1" fontId="5" fillId="0" borderId="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Arkusz1!#REF!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29800</c:v>
                </c:pt>
                <c:pt idx="1">
                  <c:v>29800</c:v>
                </c:pt>
                <c:pt idx="2">
                  <c:v>19736.28</c:v>
                </c:pt>
                <c:pt idx="3">
                  <c:v>0.6622912751677852</c:v>
                </c:pt>
                <c:pt idx="4">
                  <c:v>0.0004952672313233854</c:v>
                </c:pt>
              </c:numCache>
            </c:numRef>
          </c:val>
        </c:ser>
        <c:ser>
          <c:idx val="4"/>
          <c:order val="4"/>
          <c:tx>
            <c:strRef>
              <c:f>Arkusz1!#REF!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11149.14</c:v>
                </c:pt>
                <c:pt idx="3">
                  <c:v>0.5309114285714286</c:v>
                </c:pt>
                <c:pt idx="4">
                  <c:v>0.0003490138207312448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17591789"/>
        <c:axId val="66466170"/>
      </c:barChart>
      <c:catAx>
        <c:axId val="1759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66170"/>
        <c:crosses val="autoZero"/>
        <c:auto val="1"/>
        <c:lblOffset val="100"/>
        <c:noMultiLvlLbl val="0"/>
      </c:catAx>
      <c:valAx>
        <c:axId val="6646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9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85">
      <selection activeCell="G117" sqref="G117"/>
    </sheetView>
  </sheetViews>
  <sheetFormatPr defaultColWidth="9.00390625" defaultRowHeight="12.75"/>
  <cols>
    <col min="1" max="1" width="6.625" style="54" customWidth="1"/>
    <col min="2" max="2" width="6.00390625" style="0" customWidth="1"/>
    <col min="3" max="3" width="38.625" style="37" customWidth="1"/>
    <col min="4" max="4" width="12.00390625" style="11" hidden="1" customWidth="1"/>
    <col min="5" max="5" width="10.75390625" style="15" hidden="1" customWidth="1"/>
    <col min="6" max="6" width="13.875" style="15" customWidth="1"/>
    <col min="7" max="7" width="13.625" style="0" customWidth="1"/>
    <col min="8" max="8" width="13.00390625" style="0" customWidth="1"/>
    <col min="9" max="9" width="14.00390625" style="0" customWidth="1"/>
    <col min="10" max="10" width="11.75390625" style="0" customWidth="1"/>
    <col min="11" max="11" width="11.00390625" style="0" customWidth="1"/>
    <col min="12" max="12" width="13.00390625" style="0" customWidth="1"/>
    <col min="13" max="13" width="14.00390625" style="0" customWidth="1"/>
    <col min="14" max="14" width="11.75390625" style="0" bestFit="1" customWidth="1"/>
  </cols>
  <sheetData>
    <row r="1" spans="1:10" ht="12.75">
      <c r="A1" s="8"/>
      <c r="J1" t="s">
        <v>113</v>
      </c>
    </row>
    <row r="2" spans="1:10" ht="12.75">
      <c r="A2" s="8"/>
      <c r="J2" t="s">
        <v>110</v>
      </c>
    </row>
    <row r="3" spans="1:10" ht="12.75">
      <c r="A3" s="8"/>
      <c r="J3" t="s">
        <v>111</v>
      </c>
    </row>
    <row r="4" spans="1:10" s="58" customFormat="1" ht="12.75">
      <c r="A4" s="119" t="s">
        <v>96</v>
      </c>
      <c r="B4" s="119"/>
      <c r="C4" s="119"/>
      <c r="D4" s="119"/>
      <c r="E4" s="119"/>
      <c r="F4" s="119"/>
      <c r="G4" s="119"/>
      <c r="H4" s="119"/>
      <c r="I4" s="119"/>
      <c r="J4" s="8" t="s">
        <v>112</v>
      </c>
    </row>
    <row r="5" spans="1:9" s="65" customFormat="1" ht="12.75">
      <c r="A5" s="120" t="s">
        <v>97</v>
      </c>
      <c r="B5" s="120"/>
      <c r="C5" s="120"/>
      <c r="D5" s="120"/>
      <c r="E5" s="120"/>
      <c r="F5" s="120"/>
      <c r="G5" s="120"/>
      <c r="H5" s="120"/>
      <c r="I5" s="120"/>
    </row>
    <row r="6" spans="1:13" ht="14.25" customHeight="1">
      <c r="A6" s="66"/>
      <c r="B6" s="22"/>
      <c r="C6" s="41"/>
      <c r="D6" s="9"/>
      <c r="E6" s="14"/>
      <c r="F6" s="14"/>
      <c r="G6" s="2"/>
      <c r="H6" s="2"/>
      <c r="I6" s="2"/>
      <c r="J6" s="2"/>
      <c r="K6" s="2"/>
      <c r="L6" s="2"/>
      <c r="M6" s="2"/>
    </row>
    <row r="7" spans="1:13" ht="14.25" customHeight="1">
      <c r="A7" s="67"/>
      <c r="B7" s="3"/>
      <c r="C7" s="38"/>
      <c r="D7" s="12" t="s">
        <v>0</v>
      </c>
      <c r="E7" s="35" t="s">
        <v>65</v>
      </c>
      <c r="F7" s="86"/>
      <c r="G7" s="2" t="s">
        <v>5</v>
      </c>
      <c r="H7" s="2"/>
      <c r="I7" s="2"/>
      <c r="J7" s="2"/>
      <c r="K7" s="2"/>
      <c r="L7" s="2"/>
      <c r="M7" s="118"/>
    </row>
    <row r="8" spans="1:13" ht="14.25" customHeight="1">
      <c r="A8" s="67"/>
      <c r="B8" s="3"/>
      <c r="C8" s="38"/>
      <c r="D8" s="12"/>
      <c r="E8" s="36"/>
      <c r="F8" s="87" t="s">
        <v>93</v>
      </c>
      <c r="G8" s="16"/>
      <c r="H8" s="92" t="s">
        <v>8</v>
      </c>
      <c r="I8" s="88"/>
      <c r="J8" s="88"/>
      <c r="K8" s="88"/>
      <c r="L8" s="88"/>
      <c r="M8" s="91"/>
    </row>
    <row r="9" spans="1:13" ht="14.25" customHeight="1">
      <c r="A9" s="67"/>
      <c r="B9" s="3"/>
      <c r="C9" s="38"/>
      <c r="D9" s="12"/>
      <c r="E9" s="36"/>
      <c r="F9" s="63" t="s">
        <v>94</v>
      </c>
      <c r="G9" s="3" t="s">
        <v>99</v>
      </c>
      <c r="H9" s="90"/>
      <c r="I9" s="89"/>
      <c r="J9" s="89"/>
      <c r="K9" s="91"/>
      <c r="L9" s="91" t="s">
        <v>99</v>
      </c>
      <c r="M9" s="3" t="s">
        <v>107</v>
      </c>
    </row>
    <row r="10" spans="1:13" ht="12.75">
      <c r="A10" s="67" t="s">
        <v>89</v>
      </c>
      <c r="B10" s="17" t="s">
        <v>90</v>
      </c>
      <c r="C10" s="85" t="s">
        <v>98</v>
      </c>
      <c r="D10" s="12" t="s">
        <v>1</v>
      </c>
      <c r="E10" s="36" t="s">
        <v>66</v>
      </c>
      <c r="G10" s="3" t="s">
        <v>6</v>
      </c>
      <c r="H10" s="96" t="s">
        <v>109</v>
      </c>
      <c r="I10" s="90" t="s">
        <v>100</v>
      </c>
      <c r="J10" s="90" t="s">
        <v>102</v>
      </c>
      <c r="K10" s="3" t="s">
        <v>103</v>
      </c>
      <c r="L10" s="3" t="s">
        <v>105</v>
      </c>
      <c r="M10" s="3" t="s">
        <v>108</v>
      </c>
    </row>
    <row r="11" spans="1:13" ht="12.75">
      <c r="A11" s="68"/>
      <c r="B11" s="4"/>
      <c r="C11" s="39"/>
      <c r="D11" s="13" t="s">
        <v>2</v>
      </c>
      <c r="E11" s="55" t="s">
        <v>67</v>
      </c>
      <c r="F11" s="47"/>
      <c r="H11" s="93"/>
      <c r="I11" s="93" t="s">
        <v>101</v>
      </c>
      <c r="J11" s="93"/>
      <c r="K11" s="4" t="s">
        <v>104</v>
      </c>
      <c r="L11" s="93" t="s">
        <v>106</v>
      </c>
      <c r="M11" s="4"/>
    </row>
    <row r="12" spans="1:13" ht="12.75">
      <c r="A12" s="69">
        <v>1</v>
      </c>
      <c r="B12" s="21">
        <v>2</v>
      </c>
      <c r="C12" s="40">
        <v>3</v>
      </c>
      <c r="D12" s="21"/>
      <c r="E12" s="21">
        <v>4</v>
      </c>
      <c r="F12" s="52">
        <v>4</v>
      </c>
      <c r="G12" s="94">
        <v>5</v>
      </c>
      <c r="H12" s="94">
        <v>6</v>
      </c>
      <c r="I12" s="94">
        <v>7</v>
      </c>
      <c r="J12" s="94">
        <v>8</v>
      </c>
      <c r="K12" s="95">
        <v>9</v>
      </c>
      <c r="L12" s="95">
        <v>10</v>
      </c>
      <c r="M12" s="97">
        <v>11</v>
      </c>
    </row>
    <row r="13" spans="1:13" ht="12.75">
      <c r="A13" s="59" t="s">
        <v>23</v>
      </c>
      <c r="B13" s="6"/>
      <c r="C13" s="32" t="s">
        <v>26</v>
      </c>
      <c r="D13" s="10"/>
      <c r="E13" s="18" t="e">
        <f>E14+E15</f>
        <v>#REF!</v>
      </c>
      <c r="F13" s="10">
        <f>F14+F15</f>
        <v>792120</v>
      </c>
      <c r="G13" s="10">
        <f aca="true" t="shared" si="0" ref="G13:M13">G14+G15</f>
        <v>15300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776820</v>
      </c>
    </row>
    <row r="14" spans="1:13" s="54" customFormat="1" ht="12.75">
      <c r="A14" s="59"/>
      <c r="B14" s="70" t="s">
        <v>68</v>
      </c>
      <c r="C14" s="17" t="s">
        <v>69</v>
      </c>
      <c r="D14" s="48"/>
      <c r="E14" s="46" t="e">
        <f>#REF!</f>
        <v>#REF!</v>
      </c>
      <c r="F14" s="48">
        <v>300</v>
      </c>
      <c r="G14" s="64">
        <f>F14</f>
        <v>300</v>
      </c>
      <c r="H14" s="107">
        <v>0</v>
      </c>
      <c r="I14" s="107">
        <v>0</v>
      </c>
      <c r="J14" s="107">
        <v>0</v>
      </c>
      <c r="K14" s="48">
        <v>0</v>
      </c>
      <c r="L14" s="48">
        <v>0</v>
      </c>
      <c r="M14" s="48">
        <v>0</v>
      </c>
    </row>
    <row r="15" spans="1:13" s="54" customFormat="1" ht="12.75">
      <c r="A15" s="59"/>
      <c r="B15" s="71" t="s">
        <v>24</v>
      </c>
      <c r="C15" s="17" t="s">
        <v>7</v>
      </c>
      <c r="D15" s="48"/>
      <c r="E15" s="46" t="e">
        <f>SUM(#REF!)</f>
        <v>#REF!</v>
      </c>
      <c r="F15" s="48">
        <v>791820</v>
      </c>
      <c r="G15" s="64">
        <v>15000</v>
      </c>
      <c r="H15" s="107">
        <v>0</v>
      </c>
      <c r="I15" s="107">
        <v>0</v>
      </c>
      <c r="J15" s="107">
        <v>0</v>
      </c>
      <c r="K15" s="48">
        <v>0</v>
      </c>
      <c r="L15" s="48">
        <v>0</v>
      </c>
      <c r="M15" s="48">
        <f>F15-G15</f>
        <v>776820</v>
      </c>
    </row>
    <row r="16" spans="1:13" ht="15">
      <c r="A16" s="59">
        <v>600</v>
      </c>
      <c r="B16" s="7"/>
      <c r="C16" s="32" t="s">
        <v>25</v>
      </c>
      <c r="D16" s="10"/>
      <c r="E16" s="18" t="e">
        <f>#REF!+E17</f>
        <v>#REF!</v>
      </c>
      <c r="F16" s="10">
        <f>SUM(F17:F18)</f>
        <v>15485962.95</v>
      </c>
      <c r="G16" s="10">
        <f aca="true" t="shared" si="1" ref="G16:M16">SUM(G17:G18)</f>
        <v>761000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14724962.95</v>
      </c>
    </row>
    <row r="17" spans="1:13" s="54" customFormat="1" ht="12.75">
      <c r="A17" s="59"/>
      <c r="B17" s="72">
        <v>60016</v>
      </c>
      <c r="C17" s="17" t="s">
        <v>9</v>
      </c>
      <c r="D17" s="48"/>
      <c r="E17" s="46" t="e">
        <f>#REF!+#REF!+#REF!</f>
        <v>#REF!</v>
      </c>
      <c r="F17" s="48">
        <v>15142731.95</v>
      </c>
      <c r="G17" s="64">
        <f>F17-M17</f>
        <v>641000</v>
      </c>
      <c r="H17" s="107"/>
      <c r="I17" s="107">
        <v>0</v>
      </c>
      <c r="J17" s="107">
        <v>0</v>
      </c>
      <c r="K17" s="48">
        <v>0</v>
      </c>
      <c r="L17" s="48">
        <v>0</v>
      </c>
      <c r="M17" s="48">
        <v>14501731.95</v>
      </c>
    </row>
    <row r="18" spans="1:13" s="54" customFormat="1" ht="12.75">
      <c r="A18" s="59"/>
      <c r="B18" s="71">
        <v>60095</v>
      </c>
      <c r="C18" s="17" t="s">
        <v>10</v>
      </c>
      <c r="D18" s="48"/>
      <c r="E18" s="62"/>
      <c r="F18" s="48">
        <v>343231</v>
      </c>
      <c r="G18" s="64">
        <v>120000</v>
      </c>
      <c r="H18" s="107">
        <v>0</v>
      </c>
      <c r="I18" s="107">
        <v>0</v>
      </c>
      <c r="J18" s="107">
        <v>0</v>
      </c>
      <c r="K18" s="48">
        <v>0</v>
      </c>
      <c r="L18" s="48">
        <v>0</v>
      </c>
      <c r="M18" s="48">
        <f>F18-G18</f>
        <v>223231</v>
      </c>
    </row>
    <row r="19" spans="1:13" s="28" customFormat="1" ht="12.75">
      <c r="A19" s="59">
        <v>630</v>
      </c>
      <c r="B19" s="23"/>
      <c r="C19" s="32" t="s">
        <v>56</v>
      </c>
      <c r="D19" s="25"/>
      <c r="E19" s="26" t="e">
        <f>E20</f>
        <v>#REF!</v>
      </c>
      <c r="F19" s="25">
        <f>F20</f>
        <v>1707390</v>
      </c>
      <c r="G19" s="25">
        <f aca="true" t="shared" si="2" ref="G19:M19">G20</f>
        <v>607390</v>
      </c>
      <c r="H19" s="25">
        <f t="shared" si="2"/>
        <v>112900</v>
      </c>
      <c r="I19" s="25">
        <f t="shared" si="2"/>
        <v>18800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1100000</v>
      </c>
    </row>
    <row r="20" spans="1:14" s="54" customFormat="1" ht="12.75">
      <c r="A20" s="59"/>
      <c r="B20" s="70">
        <v>63095</v>
      </c>
      <c r="C20" s="17" t="s">
        <v>10</v>
      </c>
      <c r="D20" s="48"/>
      <c r="E20" s="46" t="e">
        <f>#REF!+#REF!+#REF!</f>
        <v>#REF!</v>
      </c>
      <c r="F20" s="48">
        <v>1707390</v>
      </c>
      <c r="G20" s="64">
        <f>F20-M20</f>
        <v>607390</v>
      </c>
      <c r="H20" s="107">
        <f>97000+4400+11500</f>
        <v>112900</v>
      </c>
      <c r="I20" s="107">
        <f>16300+2500</f>
        <v>18800</v>
      </c>
      <c r="J20" s="107">
        <v>0</v>
      </c>
      <c r="K20" s="48">
        <v>0</v>
      </c>
      <c r="L20" s="48">
        <v>0</v>
      </c>
      <c r="M20" s="48">
        <v>1100000</v>
      </c>
      <c r="N20" s="64"/>
    </row>
    <row r="21" spans="1:13" s="56" customFormat="1" ht="13.5" customHeight="1">
      <c r="A21" s="59"/>
      <c r="B21" s="76"/>
      <c r="C21" s="51"/>
      <c r="D21" s="73"/>
      <c r="E21" s="74"/>
      <c r="F21" s="75"/>
      <c r="G21" s="111"/>
      <c r="H21" s="109"/>
      <c r="I21" s="109"/>
      <c r="J21" s="109"/>
      <c r="K21" s="73"/>
      <c r="L21" s="73"/>
      <c r="M21" s="73"/>
    </row>
    <row r="22" spans="1:13" s="1" customFormat="1" ht="12.75">
      <c r="A22" s="59">
        <v>700</v>
      </c>
      <c r="B22" s="23"/>
      <c r="C22" s="32" t="s">
        <v>27</v>
      </c>
      <c r="D22" s="10"/>
      <c r="E22" s="18" t="e">
        <f>#REF!+E23+#REF!+E24</f>
        <v>#REF!</v>
      </c>
      <c r="F22" s="10">
        <f>+F23+F24</f>
        <v>2394243.92</v>
      </c>
      <c r="G22" s="10">
        <f aca="true" t="shared" si="3" ref="G22:M22">+G23+G24</f>
        <v>1921437.5999999999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472806.32</v>
      </c>
    </row>
    <row r="23" spans="1:13" s="61" customFormat="1" ht="12.75">
      <c r="A23" s="59"/>
      <c r="B23" s="70">
        <v>70005</v>
      </c>
      <c r="C23" s="17" t="s">
        <v>28</v>
      </c>
      <c r="D23" s="60"/>
      <c r="E23" s="46" t="e">
        <f>#REF!+#REF!+#REF!</f>
        <v>#REF!</v>
      </c>
      <c r="F23" s="48">
        <v>838500</v>
      </c>
      <c r="G23" s="15">
        <v>838500</v>
      </c>
      <c r="H23" s="112">
        <v>0</v>
      </c>
      <c r="I23" s="112">
        <v>0</v>
      </c>
      <c r="J23" s="112">
        <v>0</v>
      </c>
      <c r="K23" s="113">
        <v>0</v>
      </c>
      <c r="L23" s="113">
        <v>0</v>
      </c>
      <c r="M23" s="113">
        <v>0</v>
      </c>
    </row>
    <row r="24" spans="1:13" s="61" customFormat="1" ht="12.75">
      <c r="A24" s="59"/>
      <c r="B24" s="71">
        <v>70095</v>
      </c>
      <c r="C24" s="17" t="s">
        <v>10</v>
      </c>
      <c r="D24" s="60"/>
      <c r="E24" s="46" t="e">
        <f>#REF!+#REF!</f>
        <v>#REF!</v>
      </c>
      <c r="F24" s="48">
        <v>1555743.92</v>
      </c>
      <c r="G24" s="15">
        <f>F24-M24</f>
        <v>1082937.5999999999</v>
      </c>
      <c r="H24" s="112">
        <v>0</v>
      </c>
      <c r="I24" s="112">
        <v>0</v>
      </c>
      <c r="J24" s="112">
        <v>0</v>
      </c>
      <c r="K24" s="113">
        <v>0</v>
      </c>
      <c r="L24" s="113">
        <v>0</v>
      </c>
      <c r="M24" s="113">
        <v>472806.32</v>
      </c>
    </row>
    <row r="25" spans="1:13" s="28" customFormat="1" ht="12.75">
      <c r="A25" s="59">
        <v>710</v>
      </c>
      <c r="B25" s="23"/>
      <c r="C25" s="32" t="s">
        <v>29</v>
      </c>
      <c r="D25" s="25"/>
      <c r="E25" s="26" t="e">
        <f>E26+E27+E28</f>
        <v>#REF!</v>
      </c>
      <c r="F25" s="25">
        <f>+F26+F27+F28</f>
        <v>2363202</v>
      </c>
      <c r="G25" s="25">
        <f aca="true" t="shared" si="4" ref="G25:M25">+G26+G27+G28</f>
        <v>863202</v>
      </c>
      <c r="H25" s="25">
        <f t="shared" si="4"/>
        <v>0</v>
      </c>
      <c r="I25" s="25">
        <f t="shared" si="4"/>
        <v>0</v>
      </c>
      <c r="J25" s="25">
        <f t="shared" si="4"/>
        <v>0</v>
      </c>
      <c r="K25" s="25">
        <f t="shared" si="4"/>
        <v>0</v>
      </c>
      <c r="L25" s="25">
        <f t="shared" si="4"/>
        <v>0</v>
      </c>
      <c r="M25" s="25">
        <f t="shared" si="4"/>
        <v>1500000</v>
      </c>
    </row>
    <row r="26" spans="1:13" s="54" customFormat="1" ht="12.75">
      <c r="A26" s="59"/>
      <c r="B26" s="70">
        <v>71004</v>
      </c>
      <c r="C26" s="17" t="s">
        <v>30</v>
      </c>
      <c r="D26" s="48"/>
      <c r="E26" s="46" t="e">
        <f>#REF!</f>
        <v>#REF!</v>
      </c>
      <c r="F26" s="48">
        <v>805202</v>
      </c>
      <c r="G26" s="64">
        <v>805202</v>
      </c>
      <c r="H26" s="107">
        <v>0</v>
      </c>
      <c r="I26" s="107">
        <v>0</v>
      </c>
      <c r="J26" s="107">
        <v>0</v>
      </c>
      <c r="K26" s="48">
        <v>0</v>
      </c>
      <c r="L26" s="48">
        <v>0</v>
      </c>
      <c r="M26" s="48">
        <v>0</v>
      </c>
    </row>
    <row r="27" spans="1:13" s="54" customFormat="1" ht="12.75">
      <c r="A27" s="59"/>
      <c r="B27" s="71">
        <v>71014</v>
      </c>
      <c r="C27" s="17" t="s">
        <v>12</v>
      </c>
      <c r="D27" s="48"/>
      <c r="E27" s="46" t="e">
        <f>#REF!</f>
        <v>#REF!</v>
      </c>
      <c r="F27" s="48">
        <v>58000</v>
      </c>
      <c r="G27" s="64">
        <v>58000</v>
      </c>
      <c r="H27" s="107">
        <v>0</v>
      </c>
      <c r="I27" s="107">
        <v>0</v>
      </c>
      <c r="J27" s="107">
        <v>0</v>
      </c>
      <c r="K27" s="48">
        <v>0</v>
      </c>
      <c r="L27" s="48">
        <v>0</v>
      </c>
      <c r="M27" s="48">
        <v>0</v>
      </c>
    </row>
    <row r="28" spans="1:13" s="54" customFormat="1" ht="12.75">
      <c r="A28" s="59"/>
      <c r="B28" s="71">
        <v>71035</v>
      </c>
      <c r="C28" s="17" t="s">
        <v>70</v>
      </c>
      <c r="D28" s="48"/>
      <c r="E28" s="62" t="e">
        <f>#REF!</f>
        <v>#REF!</v>
      </c>
      <c r="F28" s="53">
        <v>1500000</v>
      </c>
      <c r="G28" s="64">
        <v>0</v>
      </c>
      <c r="H28" s="107">
        <v>0</v>
      </c>
      <c r="I28" s="107">
        <v>0</v>
      </c>
      <c r="J28" s="107">
        <v>0</v>
      </c>
      <c r="K28" s="48">
        <v>0</v>
      </c>
      <c r="L28" s="48">
        <v>0</v>
      </c>
      <c r="M28" s="48">
        <v>1500000</v>
      </c>
    </row>
    <row r="29" spans="1:13" s="28" customFormat="1" ht="12.75">
      <c r="A29" s="59">
        <v>750</v>
      </c>
      <c r="B29" s="23"/>
      <c r="C29" s="32" t="s">
        <v>31</v>
      </c>
      <c r="D29" s="25"/>
      <c r="E29" s="29" t="e">
        <f>E30+E31+E32+E33+#REF!+E35</f>
        <v>#REF!</v>
      </c>
      <c r="F29" s="49">
        <f>F30+F31+F32+F33+F34+F35</f>
        <v>6622850</v>
      </c>
      <c r="G29" s="49">
        <f aca="true" t="shared" si="5" ref="G29:M29">G30+G31+G32+G33+G34+G35</f>
        <v>6308850</v>
      </c>
      <c r="H29" s="49">
        <f t="shared" si="5"/>
        <v>3012450</v>
      </c>
      <c r="I29" s="49">
        <f t="shared" si="5"/>
        <v>518000</v>
      </c>
      <c r="J29" s="49">
        <f t="shared" si="5"/>
        <v>0</v>
      </c>
      <c r="K29" s="49">
        <f t="shared" si="5"/>
        <v>0</v>
      </c>
      <c r="L29" s="49">
        <f t="shared" si="5"/>
        <v>0</v>
      </c>
      <c r="M29" s="49">
        <f t="shared" si="5"/>
        <v>314000</v>
      </c>
    </row>
    <row r="30" spans="1:13" s="54" customFormat="1" ht="12.75">
      <c r="A30" s="59"/>
      <c r="B30" s="70">
        <v>75011</v>
      </c>
      <c r="C30" s="17" t="s">
        <v>17</v>
      </c>
      <c r="D30" s="48"/>
      <c r="E30" s="62" t="e">
        <f>SUM(#REF!)</f>
        <v>#REF!</v>
      </c>
      <c r="F30" s="53">
        <v>263000</v>
      </c>
      <c r="G30" s="64">
        <v>263000</v>
      </c>
      <c r="H30" s="107">
        <v>213000</v>
      </c>
      <c r="I30" s="107">
        <f>33000+5500</f>
        <v>38500</v>
      </c>
      <c r="J30" s="107">
        <v>0</v>
      </c>
      <c r="K30" s="48">
        <v>0</v>
      </c>
      <c r="L30" s="48">
        <v>0</v>
      </c>
      <c r="M30" s="48">
        <v>0</v>
      </c>
    </row>
    <row r="31" spans="1:13" s="54" customFormat="1" ht="12.75">
      <c r="A31" s="59"/>
      <c r="B31" s="71">
        <v>75022</v>
      </c>
      <c r="C31" s="17" t="s">
        <v>32</v>
      </c>
      <c r="D31" s="48"/>
      <c r="E31" s="62" t="e">
        <f>#REF!+#REF!+#REF!+#REF!+#REF!</f>
        <v>#REF!</v>
      </c>
      <c r="F31" s="53">
        <v>166000</v>
      </c>
      <c r="G31" s="64">
        <v>166000</v>
      </c>
      <c r="H31" s="107">
        <v>0</v>
      </c>
      <c r="I31" s="107">
        <v>0</v>
      </c>
      <c r="J31" s="107">
        <v>0</v>
      </c>
      <c r="K31" s="48">
        <v>0</v>
      </c>
      <c r="L31" s="48">
        <v>0</v>
      </c>
      <c r="M31" s="48">
        <v>0</v>
      </c>
    </row>
    <row r="32" spans="1:13" s="54" customFormat="1" ht="12.75">
      <c r="A32" s="59"/>
      <c r="B32" s="71">
        <v>75023</v>
      </c>
      <c r="C32" s="17" t="s">
        <v>33</v>
      </c>
      <c r="D32" s="48"/>
      <c r="E32" s="62" t="e">
        <f>#REF!+#REF!+#REF!+#REF!+#REF!+#REF!+#REF!+#REF!+#REF!+#REF!+#REF!+#REF!+#REF!+#REF!+#REF!+#REF!</f>
        <v>#REF!</v>
      </c>
      <c r="F32" s="53">
        <v>4532000</v>
      </c>
      <c r="G32" s="64">
        <f>F32-M32</f>
        <v>4218000</v>
      </c>
      <c r="H32" s="107">
        <f>2500000+162000+6000</f>
        <v>2668000</v>
      </c>
      <c r="I32" s="107">
        <f>400000+65000</f>
        <v>465000</v>
      </c>
      <c r="J32" s="107">
        <v>0</v>
      </c>
      <c r="K32" s="48">
        <v>0</v>
      </c>
      <c r="L32" s="48">
        <v>0</v>
      </c>
      <c r="M32" s="48">
        <f>234000+80000</f>
        <v>314000</v>
      </c>
    </row>
    <row r="33" spans="1:13" s="54" customFormat="1" ht="12.75">
      <c r="A33" s="59"/>
      <c r="B33" s="77">
        <v>75045</v>
      </c>
      <c r="C33" s="78" t="s">
        <v>18</v>
      </c>
      <c r="D33" s="48"/>
      <c r="E33" s="46" t="e">
        <f>#REF!</f>
        <v>#REF!</v>
      </c>
      <c r="F33" s="48">
        <v>600</v>
      </c>
      <c r="G33" s="64">
        <v>600</v>
      </c>
      <c r="H33" s="107">
        <v>0</v>
      </c>
      <c r="I33" s="107">
        <v>0</v>
      </c>
      <c r="J33" s="107">
        <v>0</v>
      </c>
      <c r="K33" s="48">
        <v>0</v>
      </c>
      <c r="L33" s="48">
        <v>0</v>
      </c>
      <c r="M33" s="48">
        <v>0</v>
      </c>
    </row>
    <row r="34" spans="1:13" s="54" customFormat="1" ht="12.75">
      <c r="A34" s="59"/>
      <c r="B34" s="77">
        <v>75075</v>
      </c>
      <c r="C34" s="78" t="s">
        <v>92</v>
      </c>
      <c r="D34" s="48"/>
      <c r="E34" s="62"/>
      <c r="F34" s="53">
        <v>1167000</v>
      </c>
      <c r="G34" s="64">
        <v>1167000</v>
      </c>
      <c r="H34" s="107">
        <v>0</v>
      </c>
      <c r="I34" s="107">
        <v>0</v>
      </c>
      <c r="J34" s="107">
        <v>0</v>
      </c>
      <c r="K34" s="48">
        <v>0</v>
      </c>
      <c r="L34" s="48">
        <v>0</v>
      </c>
      <c r="M34" s="48">
        <v>0</v>
      </c>
    </row>
    <row r="35" spans="1:13" s="54" customFormat="1" ht="12.75">
      <c r="A35" s="59"/>
      <c r="B35" s="77">
        <v>75095</v>
      </c>
      <c r="C35" s="78" t="s">
        <v>10</v>
      </c>
      <c r="D35" s="48"/>
      <c r="E35" s="46" t="e">
        <f>#REF!+#REF!+#REF!+#REF!+#REF!</f>
        <v>#REF!</v>
      </c>
      <c r="F35" s="48">
        <v>494250</v>
      </c>
      <c r="G35" s="64">
        <v>494250</v>
      </c>
      <c r="H35" s="48">
        <f>26000+105450</f>
        <v>131450</v>
      </c>
      <c r="I35" s="100">
        <f>10000+4500</f>
        <v>14500</v>
      </c>
      <c r="J35" s="107">
        <v>0</v>
      </c>
      <c r="K35" s="48">
        <v>0</v>
      </c>
      <c r="L35" s="48">
        <v>0</v>
      </c>
      <c r="M35" s="48">
        <v>0</v>
      </c>
    </row>
    <row r="36" spans="1:13" s="28" customFormat="1" ht="12.75">
      <c r="A36" s="59">
        <v>751</v>
      </c>
      <c r="B36" s="30"/>
      <c r="C36" s="31" t="s">
        <v>57</v>
      </c>
      <c r="D36" s="25"/>
      <c r="E36" s="29"/>
      <c r="F36" s="49"/>
      <c r="G36" s="34"/>
      <c r="H36" s="25"/>
      <c r="I36" s="110"/>
      <c r="J36" s="108"/>
      <c r="K36" s="25"/>
      <c r="L36" s="25"/>
      <c r="M36" s="25"/>
    </row>
    <row r="37" spans="1:13" s="28" customFormat="1" ht="12.75">
      <c r="A37" s="59"/>
      <c r="B37" s="31"/>
      <c r="C37" s="33" t="s">
        <v>58</v>
      </c>
      <c r="D37" s="25"/>
      <c r="E37" s="29"/>
      <c r="F37" s="49"/>
      <c r="G37" s="34"/>
      <c r="H37" s="25"/>
      <c r="I37" s="110"/>
      <c r="J37" s="108"/>
      <c r="K37" s="25"/>
      <c r="L37" s="25"/>
      <c r="M37" s="25"/>
    </row>
    <row r="38" spans="1:13" s="28" customFormat="1" ht="12.75">
      <c r="A38" s="59"/>
      <c r="B38" s="31"/>
      <c r="C38" s="33" t="s">
        <v>59</v>
      </c>
      <c r="D38" s="25"/>
      <c r="E38" s="26" t="e">
        <f>E40+#REF!+#REF!</f>
        <v>#REF!</v>
      </c>
      <c r="F38" s="25">
        <f>F40</f>
        <v>1140</v>
      </c>
      <c r="G38" s="25">
        <f aca="true" t="shared" si="6" ref="G38:M38">G40</f>
        <v>1140</v>
      </c>
      <c r="H38" s="25">
        <f t="shared" si="6"/>
        <v>970</v>
      </c>
      <c r="I38" s="25">
        <f t="shared" si="6"/>
        <v>170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</row>
    <row r="39" spans="1:13" s="54" customFormat="1" ht="12.75">
      <c r="A39" s="59"/>
      <c r="B39" s="72">
        <v>75101</v>
      </c>
      <c r="C39" s="17" t="s">
        <v>60</v>
      </c>
      <c r="D39" s="48"/>
      <c r="E39" s="46"/>
      <c r="F39" s="53"/>
      <c r="G39" s="64"/>
      <c r="H39" s="48"/>
      <c r="I39" s="100"/>
      <c r="J39" s="48"/>
      <c r="K39" s="53"/>
      <c r="L39" s="48"/>
      <c r="M39" s="48"/>
    </row>
    <row r="40" spans="1:13" s="54" customFormat="1" ht="12.75">
      <c r="A40" s="59"/>
      <c r="B40" s="79"/>
      <c r="C40" s="17" t="s">
        <v>61</v>
      </c>
      <c r="D40" s="48"/>
      <c r="E40" s="46" t="e">
        <f>SUM(#REF!)</f>
        <v>#REF!</v>
      </c>
      <c r="F40" s="48">
        <v>1140</v>
      </c>
      <c r="G40" s="64">
        <v>1140</v>
      </c>
      <c r="H40" s="48">
        <v>970</v>
      </c>
      <c r="I40" s="100">
        <f>146+24</f>
        <v>170</v>
      </c>
      <c r="J40" s="48">
        <v>0</v>
      </c>
      <c r="K40" s="53">
        <v>0</v>
      </c>
      <c r="L40" s="48">
        <v>0</v>
      </c>
      <c r="M40" s="48">
        <v>0</v>
      </c>
    </row>
    <row r="41" spans="1:13" s="28" customFormat="1" ht="12.75">
      <c r="A41" s="59">
        <v>754</v>
      </c>
      <c r="B41" s="30"/>
      <c r="C41" s="33" t="s">
        <v>34</v>
      </c>
      <c r="D41" s="25"/>
      <c r="E41" s="29"/>
      <c r="F41" s="49"/>
      <c r="G41" s="34"/>
      <c r="H41" s="25"/>
      <c r="I41" s="110"/>
      <c r="J41" s="25"/>
      <c r="K41" s="49"/>
      <c r="L41" s="25"/>
      <c r="M41" s="25"/>
    </row>
    <row r="42" spans="1:13" s="28" customFormat="1" ht="12.75">
      <c r="A42" s="59"/>
      <c r="B42" s="31"/>
      <c r="C42" s="33" t="s">
        <v>35</v>
      </c>
      <c r="D42" s="25"/>
      <c r="E42" s="26" t="e">
        <f>E43+#REF!+E44+E51+E52</f>
        <v>#REF!</v>
      </c>
      <c r="F42" s="25">
        <f>F43+F44+F51+F52+F53+F54</f>
        <v>1897308</v>
      </c>
      <c r="G42" s="25">
        <f aca="true" t="shared" si="7" ref="G42:M42">G43+G44+G51+G52+G53+G54</f>
        <v>1092308</v>
      </c>
      <c r="H42" s="25">
        <f t="shared" si="7"/>
        <v>496600</v>
      </c>
      <c r="I42" s="25">
        <f t="shared" si="7"/>
        <v>83600</v>
      </c>
      <c r="J42" s="25">
        <f t="shared" si="7"/>
        <v>0</v>
      </c>
      <c r="K42" s="25">
        <f t="shared" si="7"/>
        <v>0</v>
      </c>
      <c r="L42" s="25">
        <f t="shared" si="7"/>
        <v>0</v>
      </c>
      <c r="M42" s="25">
        <f t="shared" si="7"/>
        <v>805000</v>
      </c>
    </row>
    <row r="43" spans="1:13" s="54" customFormat="1" ht="12.75">
      <c r="A43" s="59"/>
      <c r="B43" s="80">
        <v>75405</v>
      </c>
      <c r="C43" s="78" t="s">
        <v>20</v>
      </c>
      <c r="D43" s="48"/>
      <c r="E43" s="62" t="e">
        <f>#REF!</f>
        <v>#REF!</v>
      </c>
      <c r="F43" s="53">
        <v>300000</v>
      </c>
      <c r="G43" s="64">
        <v>300000</v>
      </c>
      <c r="H43" s="48">
        <v>0</v>
      </c>
      <c r="I43" s="100">
        <v>0</v>
      </c>
      <c r="J43" s="48">
        <v>0</v>
      </c>
      <c r="K43" s="53">
        <v>0</v>
      </c>
      <c r="L43" s="48">
        <v>0</v>
      </c>
      <c r="M43" s="48">
        <v>0</v>
      </c>
    </row>
    <row r="44" spans="1:13" s="54" customFormat="1" ht="12.75">
      <c r="A44" s="59"/>
      <c r="B44" s="77">
        <v>75412</v>
      </c>
      <c r="C44" s="78" t="s">
        <v>11</v>
      </c>
      <c r="D44" s="48"/>
      <c r="E44" s="46" t="e">
        <f>SUM(#REF!)</f>
        <v>#REF!</v>
      </c>
      <c r="F44" s="48">
        <v>375208</v>
      </c>
      <c r="G44" s="64">
        <f>F44-M44</f>
        <v>170208</v>
      </c>
      <c r="H44" s="48">
        <f>50000+1600</f>
        <v>51600</v>
      </c>
      <c r="I44" s="100">
        <f>7800+1300</f>
        <v>9100</v>
      </c>
      <c r="J44" s="48">
        <v>0</v>
      </c>
      <c r="K44" s="53">
        <v>0</v>
      </c>
      <c r="L44" s="48">
        <v>0</v>
      </c>
      <c r="M44" s="48">
        <f>30000+175000</f>
        <v>205000</v>
      </c>
    </row>
    <row r="45" spans="1:13" ht="14.25" customHeight="1">
      <c r="A45" s="67"/>
      <c r="B45" s="3"/>
      <c r="C45" s="38"/>
      <c r="D45" s="12" t="s">
        <v>0</v>
      </c>
      <c r="E45" s="99" t="s">
        <v>65</v>
      </c>
      <c r="F45" s="87"/>
      <c r="G45" s="2" t="s">
        <v>5</v>
      </c>
      <c r="H45" s="2"/>
      <c r="I45" s="2"/>
      <c r="J45" s="2"/>
      <c r="K45" s="2"/>
      <c r="L45" s="2"/>
      <c r="M45" s="2"/>
    </row>
    <row r="46" spans="1:13" ht="14.25" customHeight="1">
      <c r="A46" s="67"/>
      <c r="B46" s="3"/>
      <c r="C46" s="38"/>
      <c r="D46" s="12"/>
      <c r="E46" s="36"/>
      <c r="F46" s="87" t="s">
        <v>93</v>
      </c>
      <c r="G46" s="16"/>
      <c r="H46" s="92" t="s">
        <v>8</v>
      </c>
      <c r="I46" s="88"/>
      <c r="J46" s="88"/>
      <c r="K46" s="88"/>
      <c r="L46" s="88"/>
      <c r="M46" s="91"/>
    </row>
    <row r="47" spans="1:13" ht="14.25" customHeight="1">
      <c r="A47" s="67"/>
      <c r="B47" s="3"/>
      <c r="C47" s="38"/>
      <c r="D47" s="12"/>
      <c r="E47" s="36"/>
      <c r="F47" s="63" t="s">
        <v>94</v>
      </c>
      <c r="G47" s="3" t="s">
        <v>99</v>
      </c>
      <c r="H47" s="90"/>
      <c r="I47" s="89"/>
      <c r="J47" s="89"/>
      <c r="K47" s="91"/>
      <c r="L47" s="91" t="s">
        <v>99</v>
      </c>
      <c r="M47" s="3" t="s">
        <v>107</v>
      </c>
    </row>
    <row r="48" spans="1:13" ht="12.75">
      <c r="A48" s="67" t="s">
        <v>89</v>
      </c>
      <c r="B48" s="17" t="s">
        <v>90</v>
      </c>
      <c r="C48" s="85" t="s">
        <v>98</v>
      </c>
      <c r="D48" s="12" t="s">
        <v>1</v>
      </c>
      <c r="E48" s="36" t="s">
        <v>66</v>
      </c>
      <c r="G48" s="3" t="s">
        <v>6</v>
      </c>
      <c r="H48" s="96" t="s">
        <v>109</v>
      </c>
      <c r="I48" s="90" t="s">
        <v>100</v>
      </c>
      <c r="J48" s="90" t="s">
        <v>102</v>
      </c>
      <c r="K48" s="3" t="s">
        <v>103</v>
      </c>
      <c r="L48" s="3" t="s">
        <v>105</v>
      </c>
      <c r="M48" s="3" t="s">
        <v>108</v>
      </c>
    </row>
    <row r="49" spans="1:13" ht="12.75">
      <c r="A49" s="68"/>
      <c r="B49" s="4"/>
      <c r="C49" s="39"/>
      <c r="D49" s="13" t="s">
        <v>2</v>
      </c>
      <c r="E49" s="55" t="s">
        <v>67</v>
      </c>
      <c r="F49" s="47"/>
      <c r="H49" s="93"/>
      <c r="I49" s="93" t="s">
        <v>101</v>
      </c>
      <c r="J49" s="93"/>
      <c r="K49" s="4" t="s">
        <v>104</v>
      </c>
      <c r="L49" s="93" t="s">
        <v>106</v>
      </c>
      <c r="M49" s="4"/>
    </row>
    <row r="50" spans="1:13" ht="12.75">
      <c r="A50" s="69">
        <v>1</v>
      </c>
      <c r="B50" s="21">
        <v>2</v>
      </c>
      <c r="C50" s="40">
        <v>3</v>
      </c>
      <c r="D50" s="21"/>
      <c r="E50" s="21">
        <v>4</v>
      </c>
      <c r="F50" s="52">
        <v>4</v>
      </c>
      <c r="G50" s="94">
        <v>5</v>
      </c>
      <c r="H50" s="94">
        <v>6</v>
      </c>
      <c r="I50" s="94">
        <v>7</v>
      </c>
      <c r="J50" s="94">
        <v>8</v>
      </c>
      <c r="K50" s="95">
        <v>9</v>
      </c>
      <c r="L50" s="95">
        <v>10</v>
      </c>
      <c r="M50" s="97">
        <v>11</v>
      </c>
    </row>
    <row r="51" spans="1:13" s="54" customFormat="1" ht="12.75">
      <c r="A51" s="59"/>
      <c r="B51" s="77">
        <v>75414</v>
      </c>
      <c r="C51" s="78" t="s">
        <v>36</v>
      </c>
      <c r="D51" s="48"/>
      <c r="E51" s="46" t="e">
        <f>SUM(#REF!)</f>
        <v>#REF!</v>
      </c>
      <c r="F51" s="48">
        <v>9850</v>
      </c>
      <c r="G51" s="64">
        <v>9850</v>
      </c>
      <c r="H51" s="48">
        <v>0</v>
      </c>
      <c r="I51" s="64">
        <v>0</v>
      </c>
      <c r="J51" s="48">
        <v>0</v>
      </c>
      <c r="K51" s="114">
        <v>0</v>
      </c>
      <c r="L51" s="115">
        <v>0</v>
      </c>
      <c r="M51" s="53">
        <v>0</v>
      </c>
    </row>
    <row r="52" spans="1:13" s="54" customFormat="1" ht="12.75">
      <c r="A52" s="59"/>
      <c r="B52" s="77">
        <v>75416</v>
      </c>
      <c r="C52" s="78" t="s">
        <v>19</v>
      </c>
      <c r="D52" s="48"/>
      <c r="E52" s="46" t="e">
        <f>SUM(#REF!+#REF!+#REF!+#REF!+#REF!+#REF!+#REF!+#REF!+#REF!+#REF!+#REF!)</f>
        <v>#REF!</v>
      </c>
      <c r="F52" s="48">
        <v>789250</v>
      </c>
      <c r="G52" s="64">
        <f>F52-M52</f>
        <v>589250</v>
      </c>
      <c r="H52" s="48">
        <f>420000+25000</f>
        <v>445000</v>
      </c>
      <c r="I52" s="64">
        <f>64000+10500</f>
        <v>74500</v>
      </c>
      <c r="J52" s="48">
        <v>0</v>
      </c>
      <c r="K52" s="64">
        <v>0</v>
      </c>
      <c r="L52" s="48">
        <v>0</v>
      </c>
      <c r="M52" s="53">
        <v>200000</v>
      </c>
    </row>
    <row r="53" spans="1:13" s="54" customFormat="1" ht="12.75">
      <c r="A53" s="59"/>
      <c r="B53" s="76">
        <v>75421</v>
      </c>
      <c r="C53" s="78" t="s">
        <v>95</v>
      </c>
      <c r="D53" s="48"/>
      <c r="E53" s="62"/>
      <c r="F53" s="53">
        <v>20000</v>
      </c>
      <c r="G53" s="64">
        <v>20000</v>
      </c>
      <c r="H53" s="48">
        <v>0</v>
      </c>
      <c r="I53" s="64">
        <v>0</v>
      </c>
      <c r="J53" s="48">
        <v>0</v>
      </c>
      <c r="K53" s="64">
        <v>0</v>
      </c>
      <c r="L53" s="48">
        <v>0</v>
      </c>
      <c r="M53" s="53">
        <v>0</v>
      </c>
    </row>
    <row r="54" spans="1:13" s="54" customFormat="1" ht="12.75">
      <c r="A54" s="59"/>
      <c r="B54" s="76">
        <v>75495</v>
      </c>
      <c r="C54" s="78" t="s">
        <v>10</v>
      </c>
      <c r="D54" s="48"/>
      <c r="E54" s="62"/>
      <c r="F54" s="53">
        <v>403000</v>
      </c>
      <c r="G54" s="64">
        <f>F54-M54</f>
        <v>3000</v>
      </c>
      <c r="H54" s="48">
        <v>0</v>
      </c>
      <c r="I54" s="64">
        <v>0</v>
      </c>
      <c r="J54" s="48">
        <v>0</v>
      </c>
      <c r="K54" s="64">
        <v>0</v>
      </c>
      <c r="L54" s="48">
        <v>0</v>
      </c>
      <c r="M54" s="53">
        <v>400000</v>
      </c>
    </row>
    <row r="55" spans="1:13" s="28" customFormat="1" ht="12.75">
      <c r="A55" s="59">
        <v>757</v>
      </c>
      <c r="B55" s="30"/>
      <c r="C55" s="33" t="s">
        <v>37</v>
      </c>
      <c r="D55" s="25"/>
      <c r="E55" s="26" t="e">
        <f>E57</f>
        <v>#REF!</v>
      </c>
      <c r="F55" s="25">
        <f>F57</f>
        <v>600000</v>
      </c>
      <c r="G55" s="25">
        <f aca="true" t="shared" si="8" ref="G55:M55">G57</f>
        <v>600000</v>
      </c>
      <c r="H55" s="25">
        <f t="shared" si="8"/>
        <v>0</v>
      </c>
      <c r="I55" s="25">
        <f t="shared" si="8"/>
        <v>0</v>
      </c>
      <c r="J55" s="25">
        <f t="shared" si="8"/>
        <v>0</v>
      </c>
      <c r="K55" s="25">
        <f t="shared" si="8"/>
        <v>598000</v>
      </c>
      <c r="L55" s="25">
        <f t="shared" si="8"/>
        <v>0</v>
      </c>
      <c r="M55" s="25">
        <f t="shared" si="8"/>
        <v>0</v>
      </c>
    </row>
    <row r="56" spans="1:13" s="54" customFormat="1" ht="12.75">
      <c r="A56" s="59"/>
      <c r="B56" s="80">
        <v>75702</v>
      </c>
      <c r="C56" s="78" t="s">
        <v>38</v>
      </c>
      <c r="D56" s="48"/>
      <c r="E56" s="62"/>
      <c r="F56" s="53"/>
      <c r="G56" s="64"/>
      <c r="H56" s="48"/>
      <c r="I56" s="64"/>
      <c r="J56" s="48"/>
      <c r="K56" s="64"/>
      <c r="L56" s="48"/>
      <c r="M56" s="53"/>
    </row>
    <row r="57" spans="1:13" s="54" customFormat="1" ht="12.75">
      <c r="A57" s="59"/>
      <c r="B57" s="81"/>
      <c r="C57" s="78" t="s">
        <v>39</v>
      </c>
      <c r="D57" s="48"/>
      <c r="E57" s="46" t="e">
        <f>#REF!+#REF!</f>
        <v>#REF!</v>
      </c>
      <c r="F57" s="48">
        <v>600000</v>
      </c>
      <c r="G57" s="64">
        <v>600000</v>
      </c>
      <c r="H57" s="48">
        <v>0</v>
      </c>
      <c r="I57" s="64">
        <v>0</v>
      </c>
      <c r="J57" s="48">
        <v>0</v>
      </c>
      <c r="K57" s="64">
        <v>598000</v>
      </c>
      <c r="L57" s="48">
        <v>0</v>
      </c>
      <c r="M57" s="53">
        <v>0</v>
      </c>
    </row>
    <row r="58" spans="1:13" s="28" customFormat="1" ht="12.75">
      <c r="A58" s="59">
        <v>758</v>
      </c>
      <c r="B58" s="30"/>
      <c r="C58" s="33" t="s">
        <v>21</v>
      </c>
      <c r="D58" s="25"/>
      <c r="E58" s="26" t="e">
        <f>E59+E60</f>
        <v>#REF!</v>
      </c>
      <c r="F58" s="25">
        <f>F59+F60</f>
        <v>365276</v>
      </c>
      <c r="G58" s="25">
        <f aca="true" t="shared" si="9" ref="G58:M58">G59+G60</f>
        <v>365276</v>
      </c>
      <c r="H58" s="25">
        <f t="shared" si="9"/>
        <v>0</v>
      </c>
      <c r="I58" s="25">
        <f t="shared" si="9"/>
        <v>0</v>
      </c>
      <c r="J58" s="25">
        <f t="shared" si="9"/>
        <v>0</v>
      </c>
      <c r="K58" s="25">
        <f t="shared" si="9"/>
        <v>0</v>
      </c>
      <c r="L58" s="25">
        <f t="shared" si="9"/>
        <v>0</v>
      </c>
      <c r="M58" s="25">
        <f t="shared" si="9"/>
        <v>0</v>
      </c>
    </row>
    <row r="59" spans="1:13" s="54" customFormat="1" ht="12.75">
      <c r="A59" s="59"/>
      <c r="B59" s="80">
        <v>75814</v>
      </c>
      <c r="C59" s="78" t="s">
        <v>64</v>
      </c>
      <c r="D59" s="48"/>
      <c r="E59" s="46" t="e">
        <f>#REF!</f>
        <v>#REF!</v>
      </c>
      <c r="F59" s="48">
        <v>52776</v>
      </c>
      <c r="G59" s="64">
        <v>52776</v>
      </c>
      <c r="H59" s="48">
        <v>0</v>
      </c>
      <c r="I59" s="64">
        <v>0</v>
      </c>
      <c r="J59" s="48">
        <v>0</v>
      </c>
      <c r="K59" s="64">
        <v>0</v>
      </c>
      <c r="L59" s="48">
        <v>0</v>
      </c>
      <c r="M59" s="53">
        <v>0</v>
      </c>
    </row>
    <row r="60" spans="1:13" s="54" customFormat="1" ht="12.75">
      <c r="A60" s="59"/>
      <c r="B60" s="77">
        <v>75818</v>
      </c>
      <c r="C60" s="78" t="s">
        <v>22</v>
      </c>
      <c r="D60" s="48"/>
      <c r="E60" s="46" t="e">
        <f>#REF!</f>
        <v>#REF!</v>
      </c>
      <c r="F60" s="48">
        <v>312500</v>
      </c>
      <c r="G60" s="64">
        <v>312500</v>
      </c>
      <c r="H60" s="48">
        <v>0</v>
      </c>
      <c r="I60" s="64">
        <v>0</v>
      </c>
      <c r="J60" s="48">
        <v>0</v>
      </c>
      <c r="K60" s="64">
        <v>0</v>
      </c>
      <c r="L60" s="48">
        <v>0</v>
      </c>
      <c r="M60" s="53">
        <v>0</v>
      </c>
    </row>
    <row r="61" spans="1:13" ht="15">
      <c r="A61" s="59">
        <v>801</v>
      </c>
      <c r="B61" s="7"/>
      <c r="C61" s="32" t="s">
        <v>3</v>
      </c>
      <c r="D61" s="10"/>
      <c r="E61" s="20" t="e">
        <f>E62+E65+E66+E67+E70</f>
        <v>#REF!</v>
      </c>
      <c r="F61" s="57">
        <f>F62+F64+F65+F66+F67+F68+F70+F69</f>
        <v>11519358</v>
      </c>
      <c r="G61" s="57">
        <f aca="true" t="shared" si="10" ref="G61:M61">G62+G64+G65+G66+G67+G68+G70+G69</f>
        <v>8454870</v>
      </c>
      <c r="H61" s="57">
        <f t="shared" si="10"/>
        <v>5171450</v>
      </c>
      <c r="I61" s="57">
        <f t="shared" si="10"/>
        <v>923880</v>
      </c>
      <c r="J61" s="57">
        <f t="shared" si="10"/>
        <v>25000</v>
      </c>
      <c r="K61" s="57">
        <f t="shared" si="10"/>
        <v>0</v>
      </c>
      <c r="L61" s="57">
        <f t="shared" si="10"/>
        <v>0</v>
      </c>
      <c r="M61" s="57">
        <f t="shared" si="10"/>
        <v>3064488</v>
      </c>
    </row>
    <row r="62" spans="1:13" s="54" customFormat="1" ht="12.75">
      <c r="A62" s="59"/>
      <c r="B62" s="70">
        <v>80101</v>
      </c>
      <c r="C62" s="17" t="s">
        <v>71</v>
      </c>
      <c r="D62" s="48"/>
      <c r="E62" s="46" t="e">
        <f>#REF!+#REF!+#REF!+#REF!+#REF!+#REF!+#REF!+#REF!+#REF!+#REF!+#REF!+#REF!+#REF!+#REF!+#REF!+#REF!+#REF!+#REF!</f>
        <v>#REF!</v>
      </c>
      <c r="F62" s="48">
        <v>4249435</v>
      </c>
      <c r="G62" s="64">
        <f>F62-M62</f>
        <v>3602435</v>
      </c>
      <c r="H62" s="48">
        <f>2206200+160500+38500</f>
        <v>2405200</v>
      </c>
      <c r="I62" s="64">
        <f>359610+57800</f>
        <v>417410</v>
      </c>
      <c r="J62" s="48">
        <v>0</v>
      </c>
      <c r="K62" s="64">
        <v>0</v>
      </c>
      <c r="L62" s="48">
        <v>0</v>
      </c>
      <c r="M62" s="53">
        <v>647000</v>
      </c>
    </row>
    <row r="63" spans="1:13" s="54" customFormat="1" ht="12.75">
      <c r="A63" s="59"/>
      <c r="B63" s="71">
        <v>80103</v>
      </c>
      <c r="C63" s="17" t="s">
        <v>85</v>
      </c>
      <c r="D63" s="48"/>
      <c r="E63" s="62"/>
      <c r="F63" s="53"/>
      <c r="G63" s="64"/>
      <c r="H63" s="48"/>
      <c r="I63" s="64"/>
      <c r="J63" s="48"/>
      <c r="K63" s="64"/>
      <c r="L63" s="48"/>
      <c r="M63" s="53"/>
    </row>
    <row r="64" spans="1:13" s="54" customFormat="1" ht="12.75">
      <c r="A64" s="59"/>
      <c r="B64" s="67"/>
      <c r="C64" s="17" t="s">
        <v>84</v>
      </c>
      <c r="D64" s="48"/>
      <c r="E64" s="62"/>
      <c r="F64" s="53">
        <v>53897</v>
      </c>
      <c r="G64" s="64">
        <v>53897</v>
      </c>
      <c r="H64" s="48">
        <f>40650+2400</f>
        <v>43050</v>
      </c>
      <c r="I64" s="64">
        <f>5100+810</f>
        <v>5910</v>
      </c>
      <c r="J64" s="48">
        <v>0</v>
      </c>
      <c r="K64" s="64">
        <v>0</v>
      </c>
      <c r="L64" s="48">
        <v>0</v>
      </c>
      <c r="M64" s="53">
        <v>0</v>
      </c>
    </row>
    <row r="65" spans="1:13" s="54" customFormat="1" ht="12.75">
      <c r="A65" s="59"/>
      <c r="B65" s="71">
        <v>80104</v>
      </c>
      <c r="C65" s="17" t="s">
        <v>79</v>
      </c>
      <c r="D65" s="48"/>
      <c r="E65" s="46" t="e">
        <f>SUM(#REF!)</f>
        <v>#REF!</v>
      </c>
      <c r="F65" s="48">
        <v>2017510</v>
      </c>
      <c r="G65" s="64">
        <f>F65-M65</f>
        <v>1722510</v>
      </c>
      <c r="H65" s="48">
        <f>989300+71600</f>
        <v>1060900</v>
      </c>
      <c r="I65" s="64">
        <f>163800+26000</f>
        <v>189800</v>
      </c>
      <c r="J65" s="48">
        <v>0</v>
      </c>
      <c r="K65" s="64">
        <v>0</v>
      </c>
      <c r="L65" s="48">
        <v>0</v>
      </c>
      <c r="M65" s="53">
        <v>295000</v>
      </c>
    </row>
    <row r="66" spans="1:13" s="54" customFormat="1" ht="12.75">
      <c r="A66" s="59"/>
      <c r="B66" s="71">
        <v>80110</v>
      </c>
      <c r="C66" s="17" t="s">
        <v>72</v>
      </c>
      <c r="D66" s="48"/>
      <c r="E66" s="46" t="e">
        <f>SUM(#REF!)</f>
        <v>#REF!</v>
      </c>
      <c r="F66" s="48">
        <v>2740600</v>
      </c>
      <c r="G66" s="64">
        <f>F66-M66</f>
        <v>2354600</v>
      </c>
      <c r="H66" s="48">
        <f>1338000+102600+1500</f>
        <v>1442100</v>
      </c>
      <c r="I66" s="64">
        <f>240500+34200</f>
        <v>274700</v>
      </c>
      <c r="J66" s="48">
        <v>0</v>
      </c>
      <c r="K66" s="64">
        <v>0</v>
      </c>
      <c r="L66" s="48">
        <v>0</v>
      </c>
      <c r="M66" s="53">
        <f>364000+22000</f>
        <v>386000</v>
      </c>
    </row>
    <row r="67" spans="1:13" s="54" customFormat="1" ht="12.75">
      <c r="A67" s="59"/>
      <c r="B67" s="71">
        <v>80113</v>
      </c>
      <c r="C67" s="17" t="s">
        <v>13</v>
      </c>
      <c r="D67" s="48"/>
      <c r="E67" s="46" t="e">
        <f>#REF!</f>
        <v>#REF!</v>
      </c>
      <c r="F67" s="48">
        <v>96730</v>
      </c>
      <c r="G67" s="64">
        <v>96730</v>
      </c>
      <c r="H67" s="48">
        <v>0</v>
      </c>
      <c r="I67" s="64">
        <v>0</v>
      </c>
      <c r="J67" s="48">
        <v>25000</v>
      </c>
      <c r="K67" s="64">
        <v>0</v>
      </c>
      <c r="L67" s="48">
        <v>0</v>
      </c>
      <c r="M67" s="53">
        <v>0</v>
      </c>
    </row>
    <row r="68" spans="1:13" s="54" customFormat="1" ht="12.75">
      <c r="A68" s="59"/>
      <c r="B68" s="71">
        <v>80146</v>
      </c>
      <c r="C68" s="17" t="s">
        <v>74</v>
      </c>
      <c r="D68" s="48"/>
      <c r="E68" s="62"/>
      <c r="F68" s="53">
        <v>33600</v>
      </c>
      <c r="G68" s="64">
        <v>33600</v>
      </c>
      <c r="H68" s="48">
        <v>0</v>
      </c>
      <c r="I68" s="64">
        <v>0</v>
      </c>
      <c r="J68" s="48">
        <v>0</v>
      </c>
      <c r="K68" s="64">
        <v>0</v>
      </c>
      <c r="L68" s="48">
        <v>0</v>
      </c>
      <c r="M68" s="53">
        <v>0</v>
      </c>
    </row>
    <row r="69" spans="1:13" s="54" customFormat="1" ht="12.75">
      <c r="A69" s="59"/>
      <c r="B69" s="67">
        <v>80148</v>
      </c>
      <c r="C69" s="17" t="s">
        <v>91</v>
      </c>
      <c r="D69" s="48"/>
      <c r="E69" s="62"/>
      <c r="F69" s="53">
        <v>467298</v>
      </c>
      <c r="G69" s="64">
        <v>467298</v>
      </c>
      <c r="H69" s="48">
        <f>182450+13950</f>
        <v>196400</v>
      </c>
      <c r="I69" s="64">
        <f>31240+4820</f>
        <v>36060</v>
      </c>
      <c r="J69" s="48">
        <v>0</v>
      </c>
      <c r="K69" s="64">
        <v>0</v>
      </c>
      <c r="L69" s="48">
        <v>0</v>
      </c>
      <c r="M69" s="53">
        <v>0</v>
      </c>
    </row>
    <row r="70" spans="1:13" s="54" customFormat="1" ht="12.75">
      <c r="A70" s="59"/>
      <c r="B70" s="71">
        <v>80195</v>
      </c>
      <c r="C70" s="17" t="s">
        <v>10</v>
      </c>
      <c r="D70" s="48"/>
      <c r="E70" s="46" t="e">
        <f>#REF!++#REF!+#REF!+#REF!</f>
        <v>#REF!</v>
      </c>
      <c r="F70" s="48">
        <v>1860288</v>
      </c>
      <c r="G70" s="64">
        <f>F70-M70</f>
        <v>123800</v>
      </c>
      <c r="H70" s="48">
        <f>21400+2400</f>
        <v>23800</v>
      </c>
      <c r="I70" s="64">
        <v>0</v>
      </c>
      <c r="J70" s="48">
        <v>0</v>
      </c>
      <c r="K70" s="64">
        <v>0</v>
      </c>
      <c r="L70" s="48">
        <v>0</v>
      </c>
      <c r="M70" s="53">
        <v>1736488</v>
      </c>
    </row>
    <row r="71" spans="1:13" s="28" customFormat="1" ht="12.75">
      <c r="A71" s="59">
        <v>851</v>
      </c>
      <c r="B71" s="23"/>
      <c r="C71" s="32" t="s">
        <v>4</v>
      </c>
      <c r="D71" s="25"/>
      <c r="E71" s="26" t="e">
        <f>#REF!+E73</f>
        <v>#REF!</v>
      </c>
      <c r="F71" s="25">
        <f>F72+F73+F74</f>
        <v>674600</v>
      </c>
      <c r="G71" s="25">
        <f aca="true" t="shared" si="11" ref="G71:M71">G72+G73+G74</f>
        <v>545600</v>
      </c>
      <c r="H71" s="25">
        <f t="shared" si="11"/>
        <v>60000</v>
      </c>
      <c r="I71" s="25">
        <f t="shared" si="11"/>
        <v>0</v>
      </c>
      <c r="J71" s="25">
        <f t="shared" si="11"/>
        <v>80000</v>
      </c>
      <c r="K71" s="25">
        <f t="shared" si="11"/>
        <v>0</v>
      </c>
      <c r="L71" s="25">
        <f t="shared" si="11"/>
        <v>0</v>
      </c>
      <c r="M71" s="25">
        <f t="shared" si="11"/>
        <v>129000</v>
      </c>
    </row>
    <row r="72" spans="1:13" s="54" customFormat="1" ht="12.75">
      <c r="A72" s="59"/>
      <c r="B72" s="70">
        <v>85153</v>
      </c>
      <c r="C72" s="17" t="s">
        <v>86</v>
      </c>
      <c r="D72" s="48"/>
      <c r="E72" s="46"/>
      <c r="F72" s="48">
        <v>30000</v>
      </c>
      <c r="G72" s="64">
        <v>30000</v>
      </c>
      <c r="H72" s="48">
        <v>0</v>
      </c>
      <c r="I72" s="64">
        <v>0</v>
      </c>
      <c r="J72" s="48">
        <v>0</v>
      </c>
      <c r="K72" s="64">
        <v>0</v>
      </c>
      <c r="L72" s="48">
        <v>0</v>
      </c>
      <c r="M72" s="53">
        <v>0</v>
      </c>
    </row>
    <row r="73" spans="1:13" s="54" customFormat="1" ht="15" customHeight="1">
      <c r="A73" s="59"/>
      <c r="B73" s="71">
        <v>85154</v>
      </c>
      <c r="C73" s="17" t="s">
        <v>15</v>
      </c>
      <c r="D73" s="48"/>
      <c r="E73" s="46" t="e">
        <f>#REF!+#REF!+#REF!+#REF!+#REF!+#REF!+#REF!+#REF!+#REF!+#REF!</f>
        <v>#REF!</v>
      </c>
      <c r="F73" s="48">
        <v>519000</v>
      </c>
      <c r="G73" s="64">
        <f>F73-M73</f>
        <v>390000</v>
      </c>
      <c r="H73" s="48">
        <v>60000</v>
      </c>
      <c r="I73" s="64">
        <v>0</v>
      </c>
      <c r="J73" s="48">
        <v>80000</v>
      </c>
      <c r="K73" s="64">
        <v>0</v>
      </c>
      <c r="L73" s="48">
        <v>0</v>
      </c>
      <c r="M73" s="53">
        <v>129000</v>
      </c>
    </row>
    <row r="74" spans="1:13" s="54" customFormat="1" ht="12.75">
      <c r="A74" s="83"/>
      <c r="B74" s="84">
        <v>85195</v>
      </c>
      <c r="C74" s="78" t="s">
        <v>10</v>
      </c>
      <c r="D74" s="48"/>
      <c r="E74" s="62"/>
      <c r="F74" s="53">
        <v>125600</v>
      </c>
      <c r="G74" s="64">
        <v>125600</v>
      </c>
      <c r="H74" s="48">
        <v>0</v>
      </c>
      <c r="I74" s="64">
        <v>0</v>
      </c>
      <c r="J74" s="48">
        <v>0</v>
      </c>
      <c r="K74" s="64">
        <v>0</v>
      </c>
      <c r="L74" s="48">
        <v>0</v>
      </c>
      <c r="M74" s="53">
        <v>0</v>
      </c>
    </row>
    <row r="75" spans="1:13" ht="12.75">
      <c r="A75" s="59">
        <v>852</v>
      </c>
      <c r="B75" s="23"/>
      <c r="C75" s="32" t="s">
        <v>78</v>
      </c>
      <c r="D75" s="10"/>
      <c r="E75" s="19"/>
      <c r="F75" s="49">
        <f>F77+F81+F83+F84+F85+F87+F88</f>
        <v>3271560</v>
      </c>
      <c r="G75" s="49">
        <f aca="true" t="shared" si="12" ref="G75:M75">G77+G81+G83+G84+G85+G87+G88</f>
        <v>3271560</v>
      </c>
      <c r="H75" s="49">
        <f t="shared" si="12"/>
        <v>807600</v>
      </c>
      <c r="I75" s="49">
        <f t="shared" si="12"/>
        <v>159250</v>
      </c>
      <c r="J75" s="49">
        <f t="shared" si="12"/>
        <v>21300</v>
      </c>
      <c r="K75" s="49">
        <f t="shared" si="12"/>
        <v>0</v>
      </c>
      <c r="L75" s="49">
        <f t="shared" si="12"/>
        <v>0</v>
      </c>
      <c r="M75" s="49">
        <f t="shared" si="12"/>
        <v>0</v>
      </c>
    </row>
    <row r="76" spans="1:13" s="54" customFormat="1" ht="12.75">
      <c r="A76" s="59"/>
      <c r="B76" s="70">
        <v>85212</v>
      </c>
      <c r="C76" s="17" t="s">
        <v>88</v>
      </c>
      <c r="D76" s="48"/>
      <c r="E76" s="62"/>
      <c r="F76" s="53"/>
      <c r="G76" s="64"/>
      <c r="H76" s="48"/>
      <c r="I76" s="64"/>
      <c r="J76" s="48"/>
      <c r="K76" s="64"/>
      <c r="L76" s="48"/>
      <c r="M76" s="53"/>
    </row>
    <row r="77" spans="1:13" s="54" customFormat="1" ht="12.75">
      <c r="A77" s="59"/>
      <c r="B77" s="82"/>
      <c r="C77" s="17" t="s">
        <v>87</v>
      </c>
      <c r="D77" s="48"/>
      <c r="E77" s="62"/>
      <c r="F77" s="53">
        <v>1278460</v>
      </c>
      <c r="G77" s="64">
        <v>1278460</v>
      </c>
      <c r="H77" s="48">
        <f>67200+5100</f>
        <v>72300</v>
      </c>
      <c r="I77" s="64">
        <f>21940+1800</f>
        <v>23740</v>
      </c>
      <c r="J77" s="48">
        <v>0</v>
      </c>
      <c r="K77" s="64">
        <v>0</v>
      </c>
      <c r="L77" s="48">
        <v>0</v>
      </c>
      <c r="M77" s="53">
        <v>0</v>
      </c>
    </row>
    <row r="78" spans="1:13" s="54" customFormat="1" ht="12.75">
      <c r="A78" s="59"/>
      <c r="B78" s="71">
        <v>85213</v>
      </c>
      <c r="C78" s="17" t="s">
        <v>75</v>
      </c>
      <c r="D78" s="48"/>
      <c r="E78" s="62"/>
      <c r="F78" s="53"/>
      <c r="G78" s="64"/>
      <c r="H78" s="48"/>
      <c r="I78" s="64"/>
      <c r="J78" s="48"/>
      <c r="K78" s="64"/>
      <c r="L78" s="48"/>
      <c r="M78" s="53"/>
    </row>
    <row r="79" spans="1:13" s="54" customFormat="1" ht="12.75">
      <c r="A79" s="59"/>
      <c r="B79" s="82"/>
      <c r="C79" s="17" t="s">
        <v>76</v>
      </c>
      <c r="D79" s="48"/>
      <c r="E79" s="62"/>
      <c r="F79" s="53"/>
      <c r="G79" s="64"/>
      <c r="H79" s="48"/>
      <c r="I79" s="64"/>
      <c r="J79" s="48"/>
      <c r="K79" s="64"/>
      <c r="L79" s="48"/>
      <c r="M79" s="53"/>
    </row>
    <row r="80" spans="1:13" s="54" customFormat="1" ht="12.75">
      <c r="A80" s="59"/>
      <c r="B80" s="82"/>
      <c r="C80" s="17" t="s">
        <v>80</v>
      </c>
      <c r="D80" s="48"/>
      <c r="E80" s="62"/>
      <c r="F80" s="53"/>
      <c r="G80" s="64"/>
      <c r="H80" s="48"/>
      <c r="I80" s="64"/>
      <c r="J80" s="48"/>
      <c r="K80" s="64"/>
      <c r="L80" s="48"/>
      <c r="M80" s="53"/>
    </row>
    <row r="81" spans="1:13" s="54" customFormat="1" ht="12.75">
      <c r="A81" s="59"/>
      <c r="B81" s="82"/>
      <c r="C81" s="17" t="s">
        <v>81</v>
      </c>
      <c r="D81" s="48"/>
      <c r="E81" s="62"/>
      <c r="F81" s="53">
        <v>14000</v>
      </c>
      <c r="G81" s="64">
        <v>14000</v>
      </c>
      <c r="H81" s="48">
        <v>0</v>
      </c>
      <c r="I81" s="64">
        <v>0</v>
      </c>
      <c r="J81" s="48">
        <v>0</v>
      </c>
      <c r="K81" s="64">
        <v>0</v>
      </c>
      <c r="L81" s="48">
        <v>0</v>
      </c>
      <c r="M81" s="53">
        <v>0</v>
      </c>
    </row>
    <row r="82" spans="1:13" s="54" customFormat="1" ht="12.75">
      <c r="A82" s="59"/>
      <c r="B82" s="71">
        <v>85214</v>
      </c>
      <c r="C82" s="17" t="s">
        <v>40</v>
      </c>
      <c r="D82" s="48"/>
      <c r="E82" s="62"/>
      <c r="F82" s="53"/>
      <c r="G82" s="64"/>
      <c r="H82" s="48"/>
      <c r="I82" s="64"/>
      <c r="J82" s="48"/>
      <c r="K82" s="64"/>
      <c r="L82" s="48"/>
      <c r="M82" s="53"/>
    </row>
    <row r="83" spans="1:13" s="54" customFormat="1" ht="12.75">
      <c r="A83" s="59"/>
      <c r="B83" s="71"/>
      <c r="C83" s="17" t="s">
        <v>77</v>
      </c>
      <c r="D83" s="48"/>
      <c r="E83" s="62"/>
      <c r="F83" s="53">
        <v>572000</v>
      </c>
      <c r="G83" s="64">
        <v>572000</v>
      </c>
      <c r="H83" s="48">
        <v>0</v>
      </c>
      <c r="I83" s="64">
        <v>3000</v>
      </c>
      <c r="J83" s="48">
        <v>0</v>
      </c>
      <c r="K83" s="64">
        <v>0</v>
      </c>
      <c r="L83" s="48">
        <v>0</v>
      </c>
      <c r="M83" s="53">
        <v>0</v>
      </c>
    </row>
    <row r="84" spans="1:13" s="54" customFormat="1" ht="12.75">
      <c r="A84" s="59"/>
      <c r="B84" s="71">
        <v>85215</v>
      </c>
      <c r="C84" s="17" t="s">
        <v>16</v>
      </c>
      <c r="D84" s="48"/>
      <c r="E84" s="62"/>
      <c r="F84" s="53">
        <v>200000</v>
      </c>
      <c r="G84" s="64">
        <v>200000</v>
      </c>
      <c r="H84" s="48">
        <v>0</v>
      </c>
      <c r="I84" s="64">
        <v>0</v>
      </c>
      <c r="J84" s="48">
        <v>0</v>
      </c>
      <c r="K84" s="64">
        <v>0</v>
      </c>
      <c r="L84" s="48">
        <v>0</v>
      </c>
      <c r="M84" s="53">
        <v>0</v>
      </c>
    </row>
    <row r="85" spans="1:13" s="54" customFormat="1" ht="12.75">
      <c r="A85" s="59"/>
      <c r="B85" s="71">
        <v>85219</v>
      </c>
      <c r="C85" s="17" t="s">
        <v>41</v>
      </c>
      <c r="D85" s="48"/>
      <c r="E85" s="62"/>
      <c r="F85" s="53">
        <v>716540</v>
      </c>
      <c r="G85" s="64">
        <v>716540</v>
      </c>
      <c r="H85" s="48">
        <f>428500+31800+7800</f>
        <v>468100</v>
      </c>
      <c r="I85" s="64">
        <f>72550+11300</f>
        <v>83850</v>
      </c>
      <c r="J85" s="48">
        <v>0</v>
      </c>
      <c r="K85" s="64">
        <v>0</v>
      </c>
      <c r="L85" s="48">
        <v>0</v>
      </c>
      <c r="M85" s="53">
        <v>0</v>
      </c>
    </row>
    <row r="86" spans="1:13" s="54" customFormat="1" ht="12.75">
      <c r="A86" s="59"/>
      <c r="B86" s="71">
        <v>85228</v>
      </c>
      <c r="C86" s="17" t="s">
        <v>42</v>
      </c>
      <c r="D86" s="48"/>
      <c r="E86" s="62"/>
      <c r="F86" s="53"/>
      <c r="G86" s="64"/>
      <c r="H86" s="48"/>
      <c r="I86" s="64"/>
      <c r="J86" s="48"/>
      <c r="K86" s="64"/>
      <c r="L86" s="48"/>
      <c r="M86" s="53"/>
    </row>
    <row r="87" spans="1:13" s="54" customFormat="1" ht="12.75">
      <c r="A87" s="59"/>
      <c r="B87" s="71"/>
      <c r="C87" s="17" t="s">
        <v>43</v>
      </c>
      <c r="D87" s="48"/>
      <c r="E87" s="62"/>
      <c r="F87" s="53">
        <v>328260</v>
      </c>
      <c r="G87" s="64">
        <v>328260</v>
      </c>
      <c r="H87" s="48">
        <f>247700+19500</f>
        <v>267200</v>
      </c>
      <c r="I87" s="64">
        <f>42100+6560</f>
        <v>48660</v>
      </c>
      <c r="J87" s="48">
        <v>0</v>
      </c>
      <c r="K87" s="64">
        <v>0</v>
      </c>
      <c r="L87" s="48">
        <v>0</v>
      </c>
      <c r="M87" s="53">
        <v>0</v>
      </c>
    </row>
    <row r="88" spans="1:13" s="54" customFormat="1" ht="12.75">
      <c r="A88" s="59"/>
      <c r="B88" s="71">
        <v>85295</v>
      </c>
      <c r="C88" s="17" t="s">
        <v>10</v>
      </c>
      <c r="D88" s="48"/>
      <c r="E88" s="62"/>
      <c r="F88" s="53">
        <v>162300</v>
      </c>
      <c r="G88" s="64">
        <v>162300</v>
      </c>
      <c r="H88" s="48">
        <v>0</v>
      </c>
      <c r="I88" s="64">
        <v>0</v>
      </c>
      <c r="J88" s="48">
        <v>21300</v>
      </c>
      <c r="K88" s="64">
        <v>0</v>
      </c>
      <c r="L88" s="48">
        <v>0</v>
      </c>
      <c r="M88" s="53">
        <v>0</v>
      </c>
    </row>
    <row r="89" spans="1:13" s="98" customFormat="1" ht="12.75">
      <c r="A89" s="101"/>
      <c r="B89" s="105"/>
      <c r="C89" s="106"/>
      <c r="D89" s="102"/>
      <c r="E89" s="103"/>
      <c r="F89" s="102"/>
      <c r="G89" s="104"/>
      <c r="H89" s="104"/>
      <c r="I89" s="104"/>
      <c r="J89" s="104"/>
      <c r="K89" s="104"/>
      <c r="L89" s="104"/>
      <c r="M89" s="104"/>
    </row>
    <row r="90" spans="1:13" ht="14.25" customHeight="1">
      <c r="A90" s="67"/>
      <c r="B90" s="3"/>
      <c r="C90" s="38"/>
      <c r="D90" s="12" t="s">
        <v>0</v>
      </c>
      <c r="E90" s="99" t="s">
        <v>65</v>
      </c>
      <c r="F90" s="87"/>
      <c r="G90" s="2" t="s">
        <v>5</v>
      </c>
      <c r="H90" s="2"/>
      <c r="I90" s="2"/>
      <c r="J90" s="2"/>
      <c r="K90" s="2"/>
      <c r="L90" s="2"/>
      <c r="M90" s="118"/>
    </row>
    <row r="91" spans="1:13" ht="14.25" customHeight="1">
      <c r="A91" s="67"/>
      <c r="B91" s="3"/>
      <c r="C91" s="38"/>
      <c r="D91" s="12"/>
      <c r="E91" s="36"/>
      <c r="F91" s="87" t="s">
        <v>93</v>
      </c>
      <c r="G91" s="16"/>
      <c r="H91" s="92" t="s">
        <v>8</v>
      </c>
      <c r="I91" s="88"/>
      <c r="J91" s="88"/>
      <c r="K91" s="88"/>
      <c r="L91" s="88"/>
      <c r="M91" s="91"/>
    </row>
    <row r="92" spans="1:13" ht="14.25" customHeight="1">
      <c r="A92" s="67"/>
      <c r="B92" s="3"/>
      <c r="C92" s="38"/>
      <c r="D92" s="12"/>
      <c r="E92" s="36"/>
      <c r="F92" s="63" t="s">
        <v>94</v>
      </c>
      <c r="G92" s="3" t="s">
        <v>99</v>
      </c>
      <c r="H92" s="90"/>
      <c r="I92" s="89"/>
      <c r="J92" s="89"/>
      <c r="K92" s="91"/>
      <c r="L92" s="91" t="s">
        <v>99</v>
      </c>
      <c r="M92" s="3" t="s">
        <v>107</v>
      </c>
    </row>
    <row r="93" spans="1:13" ht="12.75">
      <c r="A93" s="67" t="s">
        <v>89</v>
      </c>
      <c r="B93" s="17" t="s">
        <v>90</v>
      </c>
      <c r="C93" s="85" t="s">
        <v>98</v>
      </c>
      <c r="D93" s="12" t="s">
        <v>1</v>
      </c>
      <c r="E93" s="36" t="s">
        <v>66</v>
      </c>
      <c r="G93" s="3" t="s">
        <v>6</v>
      </c>
      <c r="H93" s="96" t="s">
        <v>109</v>
      </c>
      <c r="I93" s="90" t="s">
        <v>100</v>
      </c>
      <c r="J93" s="90" t="s">
        <v>102</v>
      </c>
      <c r="K93" s="3" t="s">
        <v>103</v>
      </c>
      <c r="L93" s="3" t="s">
        <v>105</v>
      </c>
      <c r="M93" s="3" t="s">
        <v>108</v>
      </c>
    </row>
    <row r="94" spans="1:13" ht="12.75">
      <c r="A94" s="68"/>
      <c r="B94" s="4"/>
      <c r="C94" s="39"/>
      <c r="D94" s="13" t="s">
        <v>2</v>
      </c>
      <c r="E94" s="55" t="s">
        <v>67</v>
      </c>
      <c r="F94" s="47"/>
      <c r="H94" s="93"/>
      <c r="I94" s="93" t="s">
        <v>101</v>
      </c>
      <c r="J94" s="93"/>
      <c r="K94" s="4" t="s">
        <v>104</v>
      </c>
      <c r="L94" s="93" t="s">
        <v>106</v>
      </c>
      <c r="M94" s="4"/>
    </row>
    <row r="95" spans="1:13" ht="12.75">
      <c r="A95" s="69">
        <v>1</v>
      </c>
      <c r="B95" s="21">
        <v>2</v>
      </c>
      <c r="C95" s="40">
        <v>3</v>
      </c>
      <c r="D95" s="21"/>
      <c r="E95" s="21">
        <v>4</v>
      </c>
      <c r="F95" s="52">
        <v>4</v>
      </c>
      <c r="G95" s="94">
        <v>5</v>
      </c>
      <c r="H95" s="94">
        <v>6</v>
      </c>
      <c r="I95" s="94">
        <v>7</v>
      </c>
      <c r="J95" s="94">
        <v>8</v>
      </c>
      <c r="K95" s="94">
        <v>9</v>
      </c>
      <c r="L95" s="95">
        <v>10</v>
      </c>
      <c r="M95" s="97">
        <v>11</v>
      </c>
    </row>
    <row r="96" spans="1:13" s="28" customFormat="1" ht="12.75" customHeight="1">
      <c r="A96" s="59">
        <v>854</v>
      </c>
      <c r="B96" s="23"/>
      <c r="C96" s="32" t="s">
        <v>44</v>
      </c>
      <c r="D96" s="25"/>
      <c r="E96" s="26" t="e">
        <f>E97+#REF!+E100+#REF!+#REF!</f>
        <v>#REF!</v>
      </c>
      <c r="F96" s="25">
        <f>F97+F100+F101+F102+F103</f>
        <v>266016</v>
      </c>
      <c r="G96" s="25">
        <f aca="true" t="shared" si="13" ref="G96:M96">G97+G100+G101+G102+G103</f>
        <v>266016</v>
      </c>
      <c r="H96" s="25">
        <f t="shared" si="13"/>
        <v>172400</v>
      </c>
      <c r="I96" s="25">
        <f t="shared" si="13"/>
        <v>31800</v>
      </c>
      <c r="J96" s="25">
        <f t="shared" si="13"/>
        <v>0</v>
      </c>
      <c r="K96" s="25">
        <f t="shared" si="13"/>
        <v>0</v>
      </c>
      <c r="L96" s="25">
        <f t="shared" si="13"/>
        <v>0</v>
      </c>
      <c r="M96" s="25">
        <f t="shared" si="13"/>
        <v>0</v>
      </c>
    </row>
    <row r="97" spans="1:13" s="54" customFormat="1" ht="12.75">
      <c r="A97" s="59"/>
      <c r="B97" s="72">
        <v>85401</v>
      </c>
      <c r="C97" s="17" t="s">
        <v>45</v>
      </c>
      <c r="D97" s="48"/>
      <c r="E97" s="46" t="e">
        <f>#REF!+#REF!+#REF!+#REF!+#REF!</f>
        <v>#REF!</v>
      </c>
      <c r="F97" s="48">
        <v>212300</v>
      </c>
      <c r="G97" s="64">
        <v>212300</v>
      </c>
      <c r="H97" s="48">
        <f>160300+12100</f>
        <v>172400</v>
      </c>
      <c r="I97" s="64">
        <f>27700+4100</f>
        <v>31800</v>
      </c>
      <c r="J97" s="48">
        <v>0</v>
      </c>
      <c r="K97" s="64">
        <v>0</v>
      </c>
      <c r="L97" s="48">
        <v>0</v>
      </c>
      <c r="M97" s="48">
        <v>0</v>
      </c>
    </row>
    <row r="98" spans="1:13" s="54" customFormat="1" ht="12.75">
      <c r="A98" s="59"/>
      <c r="B98" s="71">
        <v>85412</v>
      </c>
      <c r="C98" s="17" t="s">
        <v>46</v>
      </c>
      <c r="D98" s="48"/>
      <c r="E98" s="46"/>
      <c r="F98" s="53"/>
      <c r="G98" s="64"/>
      <c r="H98" s="48"/>
      <c r="I98" s="64"/>
      <c r="J98" s="48"/>
      <c r="K98" s="64"/>
      <c r="L98" s="48"/>
      <c r="M98" s="48"/>
    </row>
    <row r="99" spans="1:13" s="54" customFormat="1" ht="12.75">
      <c r="A99" s="59"/>
      <c r="B99" s="71"/>
      <c r="C99" s="17" t="s">
        <v>47</v>
      </c>
      <c r="D99" s="48"/>
      <c r="E99" s="46"/>
      <c r="F99" s="53"/>
      <c r="G99" s="64"/>
      <c r="H99" s="48"/>
      <c r="I99" s="64"/>
      <c r="J99" s="48"/>
      <c r="K99" s="64"/>
      <c r="L99" s="48"/>
      <c r="M99" s="48"/>
    </row>
    <row r="100" spans="1:13" s="54" customFormat="1" ht="12.75">
      <c r="A100" s="59"/>
      <c r="B100" s="71"/>
      <c r="C100" s="17" t="s">
        <v>82</v>
      </c>
      <c r="D100" s="48"/>
      <c r="E100" s="46" t="e">
        <f>#REF!+#REF!+#REF!+#REF!+#REF!+#REF!+#REF!+#REF!</f>
        <v>#REF!</v>
      </c>
      <c r="F100" s="48">
        <v>11500</v>
      </c>
      <c r="G100" s="64">
        <v>11500</v>
      </c>
      <c r="H100" s="48">
        <v>0</v>
      </c>
      <c r="I100" s="64">
        <v>0</v>
      </c>
      <c r="J100" s="48">
        <v>0</v>
      </c>
      <c r="K100" s="64">
        <v>0</v>
      </c>
      <c r="L100" s="48">
        <v>0</v>
      </c>
      <c r="M100" s="48">
        <v>0</v>
      </c>
    </row>
    <row r="101" spans="1:13" s="54" customFormat="1" ht="12.75">
      <c r="A101" s="59"/>
      <c r="B101" s="71">
        <v>85415</v>
      </c>
      <c r="C101" s="17" t="s">
        <v>83</v>
      </c>
      <c r="D101" s="48"/>
      <c r="E101" s="62"/>
      <c r="F101" s="53">
        <v>40000</v>
      </c>
      <c r="G101" s="64">
        <v>40000</v>
      </c>
      <c r="H101" s="48">
        <v>0</v>
      </c>
      <c r="I101" s="64">
        <v>0</v>
      </c>
      <c r="J101" s="48">
        <v>0</v>
      </c>
      <c r="K101" s="64">
        <v>0</v>
      </c>
      <c r="L101" s="48">
        <v>0</v>
      </c>
      <c r="M101" s="48">
        <v>0</v>
      </c>
    </row>
    <row r="102" spans="1:13" s="54" customFormat="1" ht="12.75">
      <c r="A102" s="59"/>
      <c r="B102" s="71">
        <v>85446</v>
      </c>
      <c r="C102" s="17" t="s">
        <v>74</v>
      </c>
      <c r="D102" s="48"/>
      <c r="E102" s="62"/>
      <c r="F102" s="53">
        <v>576</v>
      </c>
      <c r="G102" s="64">
        <v>576</v>
      </c>
      <c r="H102" s="48">
        <v>0</v>
      </c>
      <c r="I102" s="64">
        <v>0</v>
      </c>
      <c r="J102" s="48">
        <v>0</v>
      </c>
      <c r="K102" s="64">
        <v>0</v>
      </c>
      <c r="L102" s="48">
        <v>0</v>
      </c>
      <c r="M102" s="48">
        <v>0</v>
      </c>
    </row>
    <row r="103" spans="1:13" s="54" customFormat="1" ht="12.75">
      <c r="A103" s="59"/>
      <c r="B103" s="71">
        <v>85495</v>
      </c>
      <c r="C103" s="17" t="s">
        <v>10</v>
      </c>
      <c r="D103" s="48"/>
      <c r="E103" s="62"/>
      <c r="F103" s="53">
        <v>1640</v>
      </c>
      <c r="G103" s="64">
        <v>1640</v>
      </c>
      <c r="H103" s="48">
        <v>0</v>
      </c>
      <c r="I103" s="64">
        <v>0</v>
      </c>
      <c r="J103" s="48">
        <v>0</v>
      </c>
      <c r="K103" s="64">
        <v>0</v>
      </c>
      <c r="L103" s="48">
        <v>0</v>
      </c>
      <c r="M103" s="48">
        <v>0</v>
      </c>
    </row>
    <row r="104" spans="1:13" s="28" customFormat="1" ht="12.75">
      <c r="A104" s="59">
        <v>900</v>
      </c>
      <c r="B104" s="23"/>
      <c r="C104" s="32" t="s">
        <v>48</v>
      </c>
      <c r="D104" s="25"/>
      <c r="E104" s="29"/>
      <c r="F104" s="49"/>
      <c r="G104" s="34"/>
      <c r="H104" s="25"/>
      <c r="I104" s="34"/>
      <c r="J104" s="25"/>
      <c r="K104" s="34"/>
      <c r="L104" s="25"/>
      <c r="M104" s="25"/>
    </row>
    <row r="105" spans="1:13" s="28" customFormat="1" ht="12.75">
      <c r="A105" s="59"/>
      <c r="B105" s="27"/>
      <c r="C105" s="32" t="s">
        <v>49</v>
      </c>
      <c r="D105" s="25"/>
      <c r="E105" s="26" t="e">
        <f>#REF!+E106+E107+E108+E109+E110</f>
        <v>#REF!</v>
      </c>
      <c r="F105" s="25">
        <f>F106+F107+F108+F109+F110</f>
        <v>10853754.719999999</v>
      </c>
      <c r="G105" s="25">
        <f aca="true" t="shared" si="14" ref="G105:M105">G106+G107+G108+G109+G110</f>
        <v>3209500</v>
      </c>
      <c r="H105" s="25">
        <f t="shared" si="14"/>
        <v>0</v>
      </c>
      <c r="I105" s="25">
        <f t="shared" si="14"/>
        <v>0</v>
      </c>
      <c r="J105" s="25">
        <f t="shared" si="14"/>
        <v>115500</v>
      </c>
      <c r="K105" s="25">
        <f t="shared" si="14"/>
        <v>0</v>
      </c>
      <c r="L105" s="25">
        <f t="shared" si="14"/>
        <v>0</v>
      </c>
      <c r="M105" s="25">
        <f t="shared" si="14"/>
        <v>7644254.72</v>
      </c>
    </row>
    <row r="106" spans="1:13" s="54" customFormat="1" ht="12.75">
      <c r="A106" s="59"/>
      <c r="B106" s="70">
        <v>90003</v>
      </c>
      <c r="C106" s="17" t="s">
        <v>50</v>
      </c>
      <c r="D106" s="48"/>
      <c r="E106" s="46" t="e">
        <f>+#REF!+#REF!+#REF!</f>
        <v>#REF!</v>
      </c>
      <c r="F106" s="48">
        <v>1935000</v>
      </c>
      <c r="G106" s="64">
        <f>F106-M106</f>
        <v>1435000</v>
      </c>
      <c r="H106" s="48">
        <v>0</v>
      </c>
      <c r="I106" s="64">
        <v>0</v>
      </c>
      <c r="J106" s="48">
        <v>0</v>
      </c>
      <c r="K106" s="64">
        <v>0</v>
      </c>
      <c r="L106" s="48">
        <v>0</v>
      </c>
      <c r="M106" s="48">
        <v>500000</v>
      </c>
    </row>
    <row r="107" spans="1:13" s="54" customFormat="1" ht="12.75">
      <c r="A107" s="59"/>
      <c r="B107" s="71">
        <v>90004</v>
      </c>
      <c r="C107" s="17" t="s">
        <v>51</v>
      </c>
      <c r="D107" s="48"/>
      <c r="E107" s="46" t="e">
        <f>#REF!+#REF!+#REF!</f>
        <v>#REF!</v>
      </c>
      <c r="F107" s="48">
        <v>1000000</v>
      </c>
      <c r="G107" s="64">
        <f>F107-M107</f>
        <v>945000</v>
      </c>
      <c r="H107" s="48">
        <v>0</v>
      </c>
      <c r="I107" s="64">
        <v>0</v>
      </c>
      <c r="J107" s="48">
        <v>0</v>
      </c>
      <c r="K107" s="64">
        <v>0</v>
      </c>
      <c r="L107" s="48">
        <v>0</v>
      </c>
      <c r="M107" s="48">
        <v>55000</v>
      </c>
    </row>
    <row r="108" spans="1:13" s="54" customFormat="1" ht="12.75">
      <c r="A108" s="59"/>
      <c r="B108" s="71">
        <v>90015</v>
      </c>
      <c r="C108" s="17" t="s">
        <v>52</v>
      </c>
      <c r="D108" s="48"/>
      <c r="E108" s="46" t="e">
        <f>#REF!+#REF!+#REF!</f>
        <v>#REF!</v>
      </c>
      <c r="F108" s="48">
        <v>1008254.72</v>
      </c>
      <c r="G108" s="64">
        <f>F108-M108</f>
        <v>505000</v>
      </c>
      <c r="H108" s="48">
        <v>0</v>
      </c>
      <c r="I108" s="64">
        <v>0</v>
      </c>
      <c r="J108" s="48">
        <v>0</v>
      </c>
      <c r="K108" s="64">
        <v>0</v>
      </c>
      <c r="L108" s="48">
        <v>0</v>
      </c>
      <c r="M108" s="48">
        <v>503254.72</v>
      </c>
    </row>
    <row r="109" spans="1:13" s="54" customFormat="1" ht="12.75">
      <c r="A109" s="59"/>
      <c r="B109" s="71">
        <v>90017</v>
      </c>
      <c r="C109" s="17" t="s">
        <v>73</v>
      </c>
      <c r="D109" s="48"/>
      <c r="E109" s="62" t="e">
        <f>#REF!</f>
        <v>#REF!</v>
      </c>
      <c r="F109" s="53">
        <v>827500</v>
      </c>
      <c r="G109" s="64">
        <f>F109-M109</f>
        <v>87500</v>
      </c>
      <c r="H109" s="48">
        <v>0</v>
      </c>
      <c r="I109" s="64">
        <v>0</v>
      </c>
      <c r="J109" s="48">
        <v>87500</v>
      </c>
      <c r="K109" s="64">
        <v>0</v>
      </c>
      <c r="L109" s="48">
        <v>0</v>
      </c>
      <c r="M109" s="48">
        <v>740000</v>
      </c>
    </row>
    <row r="110" spans="1:13" s="54" customFormat="1" ht="12.75">
      <c r="A110" s="59"/>
      <c r="B110" s="71">
        <v>90095</v>
      </c>
      <c r="C110" s="17" t="s">
        <v>10</v>
      </c>
      <c r="D110" s="48"/>
      <c r="E110" s="46" t="e">
        <f>#REF!+#REF!</f>
        <v>#REF!</v>
      </c>
      <c r="F110" s="48">
        <v>6083000</v>
      </c>
      <c r="G110" s="64">
        <f>F110-M110</f>
        <v>237000</v>
      </c>
      <c r="H110" s="48">
        <v>0</v>
      </c>
      <c r="I110" s="64">
        <v>0</v>
      </c>
      <c r="J110" s="48">
        <v>28000</v>
      </c>
      <c r="K110" s="64">
        <v>0</v>
      </c>
      <c r="L110" s="48">
        <v>0</v>
      </c>
      <c r="M110" s="48">
        <f>4355000+1436000+55000</f>
        <v>5846000</v>
      </c>
    </row>
    <row r="111" spans="1:13" s="28" customFormat="1" ht="12.75">
      <c r="A111" s="59">
        <v>921</v>
      </c>
      <c r="B111" s="23"/>
      <c r="C111" s="32" t="s">
        <v>53</v>
      </c>
      <c r="D111" s="25"/>
      <c r="E111" s="29"/>
      <c r="F111" s="49"/>
      <c r="G111" s="34"/>
      <c r="H111" s="25"/>
      <c r="I111" s="34"/>
      <c r="J111" s="25"/>
      <c r="K111" s="34"/>
      <c r="L111" s="25"/>
      <c r="M111" s="25"/>
    </row>
    <row r="112" spans="1:13" s="28" customFormat="1" ht="12.75">
      <c r="A112" s="59"/>
      <c r="B112" s="24"/>
      <c r="C112" s="32" t="s">
        <v>54</v>
      </c>
      <c r="D112" s="25"/>
      <c r="E112" s="26" t="e">
        <f>E113+E114+E115</f>
        <v>#REF!</v>
      </c>
      <c r="F112" s="25">
        <f>SUM(F113:F115)</f>
        <v>7040885</v>
      </c>
      <c r="G112" s="25">
        <f aca="true" t="shared" si="15" ref="G112:M112">SUM(G113:G115)</f>
        <v>2740885</v>
      </c>
      <c r="H112" s="25">
        <f t="shared" si="15"/>
        <v>0</v>
      </c>
      <c r="I112" s="25">
        <f t="shared" si="15"/>
        <v>0</v>
      </c>
      <c r="J112" s="25">
        <f t="shared" si="15"/>
        <v>2740885</v>
      </c>
      <c r="K112" s="25">
        <f t="shared" si="15"/>
        <v>0</v>
      </c>
      <c r="L112" s="25">
        <f t="shared" si="15"/>
        <v>0</v>
      </c>
      <c r="M112" s="25">
        <f t="shared" si="15"/>
        <v>4300000</v>
      </c>
    </row>
    <row r="113" spans="1:13" s="54" customFormat="1" ht="12.75">
      <c r="A113" s="59"/>
      <c r="B113" s="70">
        <v>92109</v>
      </c>
      <c r="C113" s="17" t="s">
        <v>55</v>
      </c>
      <c r="D113" s="48"/>
      <c r="E113" s="46" t="e">
        <f>#REF!</f>
        <v>#REF!</v>
      </c>
      <c r="F113" s="48">
        <v>3003800</v>
      </c>
      <c r="G113" s="64">
        <f>F113-M113</f>
        <v>2353800</v>
      </c>
      <c r="H113" s="48">
        <v>0</v>
      </c>
      <c r="I113" s="64">
        <v>0</v>
      </c>
      <c r="J113" s="48">
        <v>2353800</v>
      </c>
      <c r="K113" s="64">
        <v>0</v>
      </c>
      <c r="L113" s="48"/>
      <c r="M113" s="48">
        <v>650000</v>
      </c>
    </row>
    <row r="114" spans="1:13" s="54" customFormat="1" ht="12.75" customHeight="1">
      <c r="A114" s="59"/>
      <c r="B114" s="71">
        <v>92116</v>
      </c>
      <c r="C114" s="17" t="s">
        <v>14</v>
      </c>
      <c r="D114" s="48"/>
      <c r="E114" s="62" t="e">
        <f>#REF!</f>
        <v>#REF!</v>
      </c>
      <c r="F114" s="53">
        <v>387085</v>
      </c>
      <c r="G114" s="64">
        <v>387085</v>
      </c>
      <c r="H114" s="48">
        <v>0</v>
      </c>
      <c r="I114" s="64">
        <v>0</v>
      </c>
      <c r="J114" s="48">
        <v>387085</v>
      </c>
      <c r="K114" s="64">
        <v>0</v>
      </c>
      <c r="L114" s="48">
        <v>0</v>
      </c>
      <c r="M114" s="48">
        <v>0</v>
      </c>
    </row>
    <row r="115" spans="1:13" s="54" customFormat="1" ht="12.75">
      <c r="A115" s="59"/>
      <c r="B115" s="71">
        <v>92195</v>
      </c>
      <c r="C115" s="17" t="s">
        <v>10</v>
      </c>
      <c r="D115" s="48"/>
      <c r="E115" s="46" t="e">
        <f>#REF!+#REF!+#REF!</f>
        <v>#REF!</v>
      </c>
      <c r="F115" s="48">
        <v>3650000</v>
      </c>
      <c r="G115" s="64"/>
      <c r="H115" s="48">
        <v>0</v>
      </c>
      <c r="I115" s="64">
        <v>0</v>
      </c>
      <c r="J115" s="48">
        <v>0</v>
      </c>
      <c r="K115" s="64">
        <v>0</v>
      </c>
      <c r="L115" s="48">
        <v>0</v>
      </c>
      <c r="M115" s="48">
        <v>3650000</v>
      </c>
    </row>
    <row r="116" spans="1:13" s="28" customFormat="1" ht="12.75">
      <c r="A116" s="59">
        <v>926</v>
      </c>
      <c r="B116" s="23"/>
      <c r="C116" s="32" t="s">
        <v>62</v>
      </c>
      <c r="D116" s="34"/>
      <c r="E116" s="25" t="e">
        <f>E117</f>
        <v>#REF!</v>
      </c>
      <c r="F116" s="25">
        <f>F117</f>
        <v>1125840</v>
      </c>
      <c r="G116" s="25">
        <f aca="true" t="shared" si="16" ref="G116:M116">G117</f>
        <v>625840</v>
      </c>
      <c r="H116" s="25">
        <f t="shared" si="16"/>
        <v>60000</v>
      </c>
      <c r="I116" s="25">
        <f t="shared" si="16"/>
        <v>8040</v>
      </c>
      <c r="J116" s="25">
        <f t="shared" si="16"/>
        <v>0</v>
      </c>
      <c r="K116" s="25">
        <f t="shared" si="16"/>
        <v>0</v>
      </c>
      <c r="L116" s="25">
        <f t="shared" si="16"/>
        <v>0</v>
      </c>
      <c r="M116" s="25">
        <f t="shared" si="16"/>
        <v>500000</v>
      </c>
    </row>
    <row r="117" spans="1:13" s="54" customFormat="1" ht="12.75">
      <c r="A117" s="5"/>
      <c r="B117" s="70">
        <v>92695</v>
      </c>
      <c r="C117" s="17" t="s">
        <v>10</v>
      </c>
      <c r="D117" s="64"/>
      <c r="E117" s="48" t="e">
        <f>#REF!+#REF!+#REF!</f>
        <v>#REF!</v>
      </c>
      <c r="F117" s="48">
        <v>1125840</v>
      </c>
      <c r="G117" s="116">
        <f>F117-M117</f>
        <v>625840</v>
      </c>
      <c r="H117" s="117">
        <v>60000</v>
      </c>
      <c r="I117" s="102">
        <f>7000+1040</f>
        <v>8040</v>
      </c>
      <c r="J117" s="117">
        <v>0</v>
      </c>
      <c r="K117" s="102">
        <v>0</v>
      </c>
      <c r="L117" s="117">
        <v>0</v>
      </c>
      <c r="M117" s="117">
        <v>500000</v>
      </c>
    </row>
    <row r="118" spans="1:13" s="28" customFormat="1" ht="12.75">
      <c r="A118" s="68"/>
      <c r="B118" s="42"/>
      <c r="C118" s="43" t="s">
        <v>63</v>
      </c>
      <c r="D118" s="44"/>
      <c r="E118" s="45" t="e">
        <f>E116++E112+E105+E96+#REF!+E71+E61+E58+E55+E42+E38+E29+E25+E22+E19+E16+E13</f>
        <v>#REF!</v>
      </c>
      <c r="F118" s="50">
        <f>F116+F112+F105+F96+F75+F71+F61+F58+F55+F42+F38+F29+F25+F22+F19+F16+F13</f>
        <v>66981506.59</v>
      </c>
      <c r="G118" s="50">
        <f aca="true" t="shared" si="17" ref="G118:M118">G116+G112+G105+G96+G75+G71+G61+G58+G55+G42+G38+G29+G25+G22+G19+G16+G13</f>
        <v>31650174.6</v>
      </c>
      <c r="H118" s="50">
        <f t="shared" si="17"/>
        <v>9894370</v>
      </c>
      <c r="I118" s="50">
        <f t="shared" si="17"/>
        <v>1743540</v>
      </c>
      <c r="J118" s="50">
        <f t="shared" si="17"/>
        <v>2982685</v>
      </c>
      <c r="K118" s="50">
        <f t="shared" si="17"/>
        <v>598000</v>
      </c>
      <c r="L118" s="50">
        <f t="shared" si="17"/>
        <v>0</v>
      </c>
      <c r="M118" s="50">
        <f t="shared" si="17"/>
        <v>35331331.989999995</v>
      </c>
    </row>
    <row r="120" ht="12.75">
      <c r="G120" s="11"/>
    </row>
  </sheetData>
  <mergeCells count="2">
    <mergeCell ref="A4:I4"/>
    <mergeCell ref="A5:I5"/>
  </mergeCells>
  <printOptions/>
  <pageMargins left="0" right="0" top="0.5118110236220472" bottom="0.31496062992125984" header="0.11811023622047245" footer="0.11811023622047245"/>
  <pageSetup horizontalDpi="600" verticalDpi="600" orientation="landscape" paperSize="9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2008-11-13T10:40:50Z</cp:lastPrinted>
  <dcterms:created xsi:type="dcterms:W3CDTF">2000-10-12T12:51:35Z</dcterms:created>
  <dcterms:modified xsi:type="dcterms:W3CDTF">2008-11-13T10:43:21Z</dcterms:modified>
  <cp:category/>
  <cp:version/>
  <cp:contentType/>
  <cp:contentStatus/>
</cp:coreProperties>
</file>