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<sst xmlns="http://schemas.openxmlformats.org/spreadsheetml/2006/main" count="1426" uniqueCount="722">
  <si>
    <t>a) zestawienie wydatków wg działów</t>
  </si>
  <si>
    <t>Przewidywane</t>
  </si>
  <si>
    <t>%</t>
  </si>
  <si>
    <t>Struktura</t>
  </si>
  <si>
    <t>Lp.</t>
  </si>
  <si>
    <t xml:space="preserve">                      Treść</t>
  </si>
  <si>
    <t>Wykonanie</t>
  </si>
  <si>
    <t>w roku 1997r.</t>
  </si>
  <si>
    <t>OŚWIATA  I  WYCHOWANIE</t>
  </si>
  <si>
    <t>OCHRONA  ZDROWIA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</si>
  <si>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</si>
  <si>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</si>
  <si>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</si>
  <si>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</si>
  <si>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</si>
  <si>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</si>
  <si>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</si>
  <si>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</si>
  <si>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</si>
  <si>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</si>
  <si>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</si>
  <si>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plaża</t>
  </si>
  <si>
    <t>remont zejścia na plażę Lubiewo</t>
  </si>
  <si>
    <t>sołectwa</t>
  </si>
  <si>
    <t>odkomarzanie</t>
  </si>
  <si>
    <t>Pozostała działalność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</si>
  <si>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</si>
  <si>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</si>
  <si>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</si>
  <si>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</si>
  <si>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</si>
  <si>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</si>
  <si>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</si>
  <si>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</si>
  <si>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</si>
  <si>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</si>
  <si>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</si>
  <si>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</si>
  <si>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wyceny nieruchomości /mieszkaniówka/</t>
  </si>
  <si>
    <t>różne opłaty i składki</t>
  </si>
  <si>
    <t>stypendia różne</t>
  </si>
  <si>
    <t>podróże służbowe zagraniczne</t>
  </si>
  <si>
    <t>odpisy na zakład.fund.świadcz.socjal.</t>
  </si>
  <si>
    <t>Dowożenie uczniów do szkół</t>
  </si>
  <si>
    <t>gimnazjum</t>
  </si>
  <si>
    <t>Biblioteki</t>
  </si>
  <si>
    <t>Przeciwdziałanie alkoholizmowi</t>
  </si>
  <si>
    <t>odpisy na zakład. fundusz św.socjal.</t>
  </si>
  <si>
    <t>świadczenia społeczne</t>
  </si>
  <si>
    <t>zadania zlecone</t>
  </si>
  <si>
    <t>zadania własne</t>
  </si>
  <si>
    <t>delegacje</t>
  </si>
  <si>
    <t>delegacje samochodowe</t>
  </si>
  <si>
    <t>opłaty pocztowe</t>
  </si>
  <si>
    <t>składki na ubezpiecznia społeczne</t>
  </si>
  <si>
    <t>odpisy na zakład. fundusz świad. socj.</t>
  </si>
  <si>
    <t>Dodatki mieszkaniowe</t>
  </si>
  <si>
    <t>Związek Miast i Gmin Morskich</t>
  </si>
  <si>
    <t>Urzędy wojewódzkie</t>
  </si>
  <si>
    <t>odzież ochronna i robocza</t>
  </si>
  <si>
    <t>okulary korygujące wzrok-praca z monitorem</t>
  </si>
  <si>
    <t>ryczałty</t>
  </si>
  <si>
    <t>materiały biurowe</t>
  </si>
  <si>
    <t>materiały biurowe - eksploatacyjne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</si>
  <si>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</si>
  <si>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</si>
  <si>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</si>
  <si>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</si>
  <si>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</si>
  <si>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</si>
  <si>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</si>
  <si>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wywóz nieczystości</t>
  </si>
  <si>
    <t>prowizja bankowa</t>
  </si>
  <si>
    <t>usługi komputerowe</t>
  </si>
  <si>
    <t>monitoring</t>
  </si>
  <si>
    <t>konserwacja systemu alarmowego</t>
  </si>
  <si>
    <t>PZU</t>
  </si>
  <si>
    <t>Komisje poborowe</t>
  </si>
  <si>
    <t>opłata miejscowa</t>
  </si>
  <si>
    <t>opłata targowa</t>
  </si>
  <si>
    <t>inne podatki i opłaty</t>
  </si>
  <si>
    <t>zastępcza służba wojskowa</t>
  </si>
  <si>
    <t>paliwo</t>
  </si>
  <si>
    <t>Straż Miejska</t>
  </si>
  <si>
    <t>Komendy powiatowe Policji</t>
  </si>
  <si>
    <t>RÓŻNE ROZLICZENIA</t>
  </si>
  <si>
    <t>Rezerwy ogólne i celowe</t>
  </si>
  <si>
    <t>rezerwy</t>
  </si>
  <si>
    <t>ogólna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</si>
  <si>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</si>
  <si>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</si>
  <si>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</si>
  <si>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</si>
  <si>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</si>
  <si>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</si>
  <si>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</si>
  <si>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</si>
  <si>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</si>
  <si>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</si>
  <si>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</si>
  <si>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</si>
  <si>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</si>
  <si>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</si>
  <si>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</si>
  <si>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</si>
  <si>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</si>
  <si>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</si>
  <si>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</si>
  <si>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</si>
  <si>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</si>
  <si>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</si>
  <si>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</si>
  <si>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</si>
  <si>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</si>
  <si>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</si>
  <si>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</si>
  <si>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</si>
  <si>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</si>
  <si>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</si>
  <si>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</si>
  <si>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</si>
  <si>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</si>
  <si>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</si>
  <si>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</si>
  <si>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</si>
  <si>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</si>
  <si>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</si>
  <si>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</si>
  <si>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</si>
  <si>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</si>
  <si>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</si>
  <si>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</si>
  <si>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</si>
  <si>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</si>
  <si>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zakup energii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</si>
  <si>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</si>
  <si>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</si>
  <si>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</si>
  <si>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</si>
  <si>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</si>
  <si>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</si>
  <si>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</si>
  <si>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</si>
  <si>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</si>
  <si>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</si>
  <si>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KULTURA FIZYCZNA I SPORT</t>
  </si>
  <si>
    <t xml:space="preserve">aktualizacja mapy </t>
  </si>
  <si>
    <t>OGÓŁEM</t>
  </si>
  <si>
    <t>KULTURA FIZYCZNA  I  SPORT</t>
  </si>
  <si>
    <t>dotacja przedmiotowa z budżetu dla zakładu</t>
  </si>
  <si>
    <t>usługi prawne i inne</t>
  </si>
  <si>
    <t>wydatki na zakupy inwestycyjne jedn.bud.</t>
  </si>
  <si>
    <t>kredyt w rachunku bieżącym</t>
  </si>
  <si>
    <t>Różne rozliczenia finansowe</t>
  </si>
  <si>
    <t>wpłaty gmin do budżetu państwa</t>
  </si>
  <si>
    <t>wpłaty na PFRON</t>
  </si>
  <si>
    <t>remonty ulic w mieście i sołectwach</t>
  </si>
  <si>
    <t>remont chodników w mieście i sołectwach</t>
  </si>
  <si>
    <t>Plan  na  rok 2001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</si>
  <si>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</si>
  <si>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</si>
  <si>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</si>
  <si>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</si>
  <si>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</si>
  <si>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</si>
  <si>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</si>
  <si>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Cmentarze</t>
  </si>
  <si>
    <t>inne opłaty</t>
  </si>
  <si>
    <t xml:space="preserve">Szkoły podstawowe          </t>
  </si>
  <si>
    <t xml:space="preserve">Gimnazja                 </t>
  </si>
  <si>
    <t>Zakłady gospodarki komunalnej</t>
  </si>
  <si>
    <t xml:space="preserve">Stowarzysz.Gmin Polskich Euroregionu Pomerania </t>
  </si>
  <si>
    <t>wynagrodz.osob.prac.(nagrody dla dyrektorów)</t>
  </si>
  <si>
    <t xml:space="preserve">place zabaw </t>
  </si>
  <si>
    <t>toalety na odcinku od Gromady do Lubiewa</t>
  </si>
  <si>
    <t>plan zagospodarowania przestrzennego</t>
  </si>
  <si>
    <t>Dokształcanie i doskonalenie nauczycieli</t>
  </si>
  <si>
    <t>przedszkole</t>
  </si>
  <si>
    <t>Składki na ubezpieczenie zdrowotne opłacane</t>
  </si>
  <si>
    <t>za osoby pobierające niektóre świadczenia</t>
  </si>
  <si>
    <t>składki na ubezpieczenie zdrowotne</t>
  </si>
  <si>
    <t>zakup energii (oświetlenie ulic)</t>
  </si>
  <si>
    <t>wydatki inwestycyjne jednostek budżetowych</t>
  </si>
  <si>
    <t>wskażnik</t>
  </si>
  <si>
    <t>na ubezpieczenia społeczne</t>
  </si>
  <si>
    <t>połączenie nieruchomości</t>
  </si>
  <si>
    <t>wznowienie granic nieruchomości</t>
  </si>
  <si>
    <t>(diety sołtysów)</t>
  </si>
  <si>
    <t>dot.celowe na fin.lub dofin.kosztow real.inw...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</si>
  <si>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</si>
  <si>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</si>
  <si>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</si>
  <si>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</si>
  <si>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akty normatywne</t>
  </si>
  <si>
    <t>ogłoszenia o przetargach i inne ogłoszenia</t>
  </si>
  <si>
    <t>decyzje o warunkach zabudowy</t>
  </si>
  <si>
    <t>kredyt - 1.550.000 zł ( 7 lat)</t>
  </si>
  <si>
    <t>kredyt - 6.350.000 zł ( 10 lat)</t>
  </si>
  <si>
    <t>wydatki  inwestycyjne jednostek</t>
  </si>
  <si>
    <t>dofinans.zadań zleconych do realiz.stowarzysz.</t>
  </si>
  <si>
    <t>świadczenia opiekuńcze</t>
  </si>
  <si>
    <t>składki na uezpieczenia społeczne</t>
  </si>
  <si>
    <t>świadczenia  rodzinne</t>
  </si>
  <si>
    <t>zakup materiałów sygn.włamania i p.poż.</t>
  </si>
  <si>
    <t>gminna komisja urbanistyczna</t>
  </si>
  <si>
    <t>promocja sprzedaży nieruchomości</t>
  </si>
  <si>
    <t>(nauczyciele emeryci)</t>
  </si>
  <si>
    <t>zadania własne - zasiłki okresowe</t>
  </si>
  <si>
    <t xml:space="preserve">z pomocy społecznej oraz niektóre </t>
  </si>
  <si>
    <t>świadczenia rodzinne</t>
  </si>
  <si>
    <t>a także szkolenia młodzieży</t>
  </si>
  <si>
    <t>wynagrodzenia bezosobowe</t>
  </si>
  <si>
    <t xml:space="preserve">wynagrodzenia bezosobowe </t>
  </si>
  <si>
    <t>dotacja podmiotowa z budżetu dla</t>
  </si>
  <si>
    <t>samorządowej instytucji kultury</t>
  </si>
  <si>
    <t>zakup usług przez jedn.samorz.teryt.od innych</t>
  </si>
  <si>
    <t xml:space="preserve">jedn.sam.teryt. ( opłaty za pobyt w domu </t>
  </si>
  <si>
    <t>pomocy społecznej)</t>
  </si>
  <si>
    <t>wydatki osobowe niezaliczone do wynagrodzeń</t>
  </si>
  <si>
    <t>dotacje celowe przekazane dla powiatu na</t>
  </si>
  <si>
    <t>monitoring składowiska odpadów</t>
  </si>
  <si>
    <t>Związek Miast Polskich</t>
  </si>
  <si>
    <t>wpłaty jednostek na fundusz celowy</t>
  </si>
  <si>
    <t>inne formy pomocy dla uczniów</t>
  </si>
  <si>
    <t>wynagrodzenia  bezosobowe</t>
  </si>
  <si>
    <t xml:space="preserve">(dla nauczycieli emerytów) </t>
  </si>
  <si>
    <t>umowy zlecenia  GKRPA</t>
  </si>
  <si>
    <t>wynagrodzenia członków GKRPA</t>
  </si>
  <si>
    <t>zaliczki alimentacyjne</t>
  </si>
  <si>
    <t>Pomoc materialna dla uczniów</t>
  </si>
  <si>
    <t>podstawowych</t>
  </si>
  <si>
    <t xml:space="preserve">Oddziały przedszkolne w szkołach </t>
  </si>
  <si>
    <t>stypendia dla uczniów</t>
  </si>
  <si>
    <t>wynagrodzenia-zadania zlecone</t>
  </si>
  <si>
    <t>wynagrodzenia-zadania własne</t>
  </si>
  <si>
    <t>składki na ub.społeczne pracownika-zad.własne</t>
  </si>
  <si>
    <t>dodatkowe wynagrodzenie roczne (zad.własne)</t>
  </si>
  <si>
    <t>ekwiwalent za używanie odzieży</t>
  </si>
  <si>
    <t>na podstawie porozumień między jed.sam.teryt.</t>
  </si>
  <si>
    <t xml:space="preserve">inwestycje i zakupy inwestycyjne realizowane </t>
  </si>
  <si>
    <t>wpłaty gmin i powiatów na rzecz innych jst oraz</t>
  </si>
  <si>
    <t>związków gmin lub zw.powiatów na dof.zad.bież.</t>
  </si>
  <si>
    <t>Związek Gmin Wyspy Wolin</t>
  </si>
  <si>
    <t>dotacja celowa z budżetu na finansowanie lub</t>
  </si>
  <si>
    <t>dofinans.zadań zleconych do realizacji stowarzysz.</t>
  </si>
  <si>
    <t>składki na ub.społeczne pracownika-zad.zlecone</t>
  </si>
  <si>
    <t>składki na Fundusz Pracy -zadania  własne</t>
  </si>
  <si>
    <t>składki na Fundusz Pracy -zadania  zlecone</t>
  </si>
  <si>
    <t xml:space="preserve">składki na Fundusz Pracy </t>
  </si>
  <si>
    <t>Zwalczanie narkomanii</t>
  </si>
  <si>
    <t>różne opłaty i składki (opł.z tyt.wieczyst.użytk.)</t>
  </si>
  <si>
    <t>wydatki związane z utrzym.bud.i lokali mieszk.</t>
  </si>
  <si>
    <t>zakup usług zdrowotnych</t>
  </si>
  <si>
    <t>oraz skł.na ubezp.emeryt.i rent.z ubezp.społ.</t>
  </si>
  <si>
    <t>Świadczenia rodzinne, zaliczka alimentac.</t>
  </si>
  <si>
    <t>składki na ubezpiecz.społ.(sekcje sportowe)</t>
  </si>
  <si>
    <t>składki na Fundusz Pracy(sekcje sportowe)</t>
  </si>
  <si>
    <t>wynagrodzenia bezosobowe (sekcje sportowe)</t>
  </si>
  <si>
    <t>zakup materiałów i wyposażenie (sekcje sportowe)</t>
  </si>
  <si>
    <t>podróże służbowe krajowe(sekcje sportowe)</t>
  </si>
  <si>
    <t>różne opłaty i składki (sekcje sportowe)</t>
  </si>
  <si>
    <t xml:space="preserve">różne opłaty i składki </t>
  </si>
  <si>
    <t>opłaty za korzystanie ze środowiska</t>
  </si>
  <si>
    <t>opłata za umieszcz.w pasie drog.urządz.infrastr.</t>
  </si>
  <si>
    <t>rekompensata za drogę,chodnik i bud.Norwida</t>
  </si>
  <si>
    <t>telefoni komórkowej</t>
  </si>
  <si>
    <t>telefoni stacjonarnej</t>
  </si>
  <si>
    <t xml:space="preserve">promocja-ubezpieczenia i skł.członkowska </t>
  </si>
  <si>
    <t>koszty postępowania egzekucyjnego</t>
  </si>
  <si>
    <t>koszty postępowania sądowego</t>
  </si>
  <si>
    <t>zakup materiałów papierniczych do sprzętu</t>
  </si>
  <si>
    <t>drukarskiego i urządzeń kserograficznych</t>
  </si>
  <si>
    <t>zakup akcesoriów komputerowych,w tym</t>
  </si>
  <si>
    <t>programów i licencji</t>
  </si>
  <si>
    <t>energia-skrzynka energ.-promocja</t>
  </si>
  <si>
    <t>(ubezpieczenie kotłowni urzędu)</t>
  </si>
  <si>
    <t>zakup energii(woda na cele przeciwpożarowe)</t>
  </si>
  <si>
    <t>program Socrates-Cumenius)</t>
  </si>
  <si>
    <t xml:space="preserve">zakup usług zdrowotnych </t>
  </si>
  <si>
    <t>podróże służbowe zagraniczne(Szkoła nr 1</t>
  </si>
  <si>
    <t>opłaty z tyt.zakupu usług telekomunikacyjnych</t>
  </si>
  <si>
    <t>posiłek dla potrzebujących-z dotacji</t>
  </si>
  <si>
    <t>posiłek dla potrzebujących-budżet gminy</t>
  </si>
  <si>
    <t>prace społecznie użyteczne</t>
  </si>
  <si>
    <t>budżetowego(ZOŚ-dofin.utrzym.stadionu)</t>
  </si>
  <si>
    <t>podatek od nieruchomości</t>
  </si>
  <si>
    <t xml:space="preserve">zakup usług remontowych </t>
  </si>
  <si>
    <t>zakup usług dostępu do sieci Internet</t>
  </si>
  <si>
    <t>zakup usług dostepu do sieci  Internet</t>
  </si>
  <si>
    <t xml:space="preserve">osób fizycznych </t>
  </si>
  <si>
    <t xml:space="preserve">zwrot nakładów poczynionych przez byłego </t>
  </si>
  <si>
    <t>nagrody dla dyrektorów placówek oświatowych</t>
  </si>
  <si>
    <t>nagroda Burmistrza-oświata</t>
  </si>
  <si>
    <t>aktualizacja programów i usługi serwisowe</t>
  </si>
  <si>
    <t>telefonii stacjonarnej</t>
  </si>
  <si>
    <t>szkolenia pracowników nie będących członkami</t>
  </si>
  <si>
    <t>korpusu służby cywilnej</t>
  </si>
  <si>
    <t>szkolenia pracowników niebędących członkami</t>
  </si>
  <si>
    <t>telefonii stacjionarnej</t>
  </si>
  <si>
    <t>zakup energii (przepompownia melioracyjna)</t>
  </si>
  <si>
    <t>konserwacja przepompowni melioracyjnej</t>
  </si>
  <si>
    <t>wydatki na zakupy inwestycyjne jed.budżet.</t>
  </si>
  <si>
    <t>Ochrona zabytków i opieka nad zabytkami</t>
  </si>
  <si>
    <t>rezerwy na inwestycje i zakupy inwestycyjne</t>
  </si>
  <si>
    <t>Gwiazd- BALBINKA)</t>
  </si>
  <si>
    <t>telefonii stacjonarnej (zad.własne)</t>
  </si>
  <si>
    <t>drukarskiego i urządzeń kserograficznych(własne)</t>
  </si>
  <si>
    <t>programów i licencji( zad.własne)</t>
  </si>
  <si>
    <t>przeprowadzenie inwentaryzacji dróg gminnych</t>
  </si>
  <si>
    <t xml:space="preserve">w związku z ewidencją dróg </t>
  </si>
  <si>
    <t>w kraju i zagranicą, opracowanie i wydanie</t>
  </si>
  <si>
    <t xml:space="preserve">informatorów turystycznych,opracowanie </t>
  </si>
  <si>
    <t>i wydanie mapy turystycznej Gminy Międzyzdroje</t>
  </si>
  <si>
    <t xml:space="preserve">reklama wizualna w mediach- realizacja </t>
  </si>
  <si>
    <t>programów promujących gminę oraz imprezy,</t>
  </si>
  <si>
    <t xml:space="preserve">zamieszczenie materiałow promocyjnych </t>
  </si>
  <si>
    <t xml:space="preserve">o gminie w dziennikach i wydawnictwach krajowych </t>
  </si>
  <si>
    <t>i zagranicznych,opracowanie i wydanie albumów</t>
  </si>
  <si>
    <t xml:space="preserve">i płyt,katalogów,materiałów promocyjnych </t>
  </si>
  <si>
    <t>artystycznych i rekreacyjnych oraz okolicznościo-</t>
  </si>
  <si>
    <t>wych,współorganizacja konferencji, zjazdów,</t>
  </si>
  <si>
    <t>(Udział gminy w targach turystycznych</t>
  </si>
  <si>
    <t>budowa i prowadzenie strony internet. dotyczacej</t>
  </si>
  <si>
    <t>dotacje celowe przekazane gminie na zadania</t>
  </si>
  <si>
    <t>bieżące realizowane na podstawie porozumień</t>
  </si>
  <si>
    <t>między jednostkami samorządu terytorialnego</t>
  </si>
  <si>
    <t>(dotacja celowa na utrzymanie 15 stanowisk</t>
  </si>
  <si>
    <t>dla bezdomnych psów w schronisku - Gmina</t>
  </si>
  <si>
    <t>Golczewo)</t>
  </si>
  <si>
    <t>wydatki na zakupy inwestycyjne jednostek bud.</t>
  </si>
  <si>
    <t>Dział</t>
  </si>
  <si>
    <t>rozdz.</t>
  </si>
  <si>
    <t>&amp;</t>
  </si>
  <si>
    <t>koszty windykacji zaległych czynszów(PZM)</t>
  </si>
  <si>
    <t>wydatki zw.z rozl.zaliczki na utrzymanie</t>
  </si>
  <si>
    <t>budowa budynku mieszkalnego przy</t>
  </si>
  <si>
    <t>ul.Skłodowskiej</t>
  </si>
  <si>
    <t>remont mieszkań komunalnych -MTBS</t>
  </si>
  <si>
    <t xml:space="preserve">remont przyziemia kaplicy na Cmentarzu </t>
  </si>
  <si>
    <t>(reprezentacyjne i inne)</t>
  </si>
  <si>
    <t>inne artykuły papiernicze</t>
  </si>
  <si>
    <t>konserwacja maszyn i urządzeń</t>
  </si>
  <si>
    <t>konserwacja systemu łączności</t>
  </si>
  <si>
    <t>remont pomieszczeń urzędu</t>
  </si>
  <si>
    <t>o atrakcjach turystycznych,współorganizacja imprez</t>
  </si>
  <si>
    <t>lokale i pomieszczenia garażowe</t>
  </si>
  <si>
    <t>opłaty za administrowanie i czynsze za budynki,</t>
  </si>
  <si>
    <t>zakup programów komputerowych i licencji</t>
  </si>
  <si>
    <t>Celowy Związek Gmin R-XXI</t>
  </si>
  <si>
    <t>(zastępcza służba wojskowa)</t>
  </si>
  <si>
    <t>(roboty publiczne refundowane)</t>
  </si>
  <si>
    <t>kotłowni urzędu)</t>
  </si>
  <si>
    <t>lokale i pomieszczenia garażowe(punkt</t>
  </si>
  <si>
    <t>Powiatowego Urzędu Pracy)</t>
  </si>
  <si>
    <t xml:space="preserve">inne materiały </t>
  </si>
  <si>
    <t xml:space="preserve">rozliczenia z bankami związane z obługą </t>
  </si>
  <si>
    <t>długu publicznego</t>
  </si>
  <si>
    <t>wydatki na zakupy inwestyc. jednostek budżet.</t>
  </si>
  <si>
    <t>zakup usług pozostałych (dofinansowanie</t>
  </si>
  <si>
    <t>pracodawcom kosztów przygotowania</t>
  </si>
  <si>
    <t>zawodowego młodocianych pracowników)</t>
  </si>
  <si>
    <t>stypendia różne(stypendia sportowe)</t>
  </si>
  <si>
    <t>zakup usług remontowych(konserwacja</t>
  </si>
  <si>
    <t>budowa stałego zjazdu na plażę -ul.Cicha</t>
  </si>
  <si>
    <t>zmiana studium uwarunkowań i kierunków ……</t>
  </si>
  <si>
    <t>wydatki na zakupy inwestycyjne jednostek budż.</t>
  </si>
  <si>
    <t>materiały-zadania własne</t>
  </si>
  <si>
    <t>materiały-zadania zlecone</t>
  </si>
  <si>
    <t>materiały - budżet gminy</t>
  </si>
  <si>
    <t>materiały - dotacja</t>
  </si>
  <si>
    <t>selektywna zbiórka odpadów wtórnych</t>
  </si>
  <si>
    <t>dotacje celowe z budzetu na finansowanie lub</t>
  </si>
  <si>
    <t>dofinansowanie kosztów realizacji inwestycji</t>
  </si>
  <si>
    <t>i zakupów inwestycyjnych innych jednostek</t>
  </si>
  <si>
    <t>niezaliczanych do sektora finansów publicznych</t>
  </si>
  <si>
    <t xml:space="preserve">i zakupów inwestycyjnych jednostek </t>
  </si>
  <si>
    <t>kawiarnia CHOPIN</t>
  </si>
  <si>
    <t xml:space="preserve">inne </t>
  </si>
  <si>
    <t>szacowanie nieruch. na potrzeby renty planistycznej</t>
  </si>
  <si>
    <t>wydatki na zakupy inwest.jedn.budżetowych</t>
  </si>
  <si>
    <t>Gimnazjum</t>
  </si>
  <si>
    <t>Stołówki szkolne</t>
  </si>
  <si>
    <t>czyszczenie sieci kanalizacji deszczowej</t>
  </si>
  <si>
    <t>(dotacja z przeznaczeniem na remont dachu</t>
  </si>
  <si>
    <t>kościoła w Międzyzdrojach oraz na remont</t>
  </si>
  <si>
    <t>organów)</t>
  </si>
  <si>
    <t xml:space="preserve">dotacja dla ZGWW na uporządkowanie </t>
  </si>
  <si>
    <t>gospodarki wodno-ściekowej</t>
  </si>
  <si>
    <t>dotacja na dofinansowanie zadania inwest.</t>
  </si>
  <si>
    <t>Celowego Związku R-XXI</t>
  </si>
  <si>
    <t>dotacje celowe z budżetu na finansowanie lub</t>
  </si>
  <si>
    <t>sektora finansów publicznych</t>
  </si>
  <si>
    <t>kary i odszkodowania wypłacane na rzecz osób</t>
  </si>
  <si>
    <t>fizycznych(odpłatne przejęcie przez gminę</t>
  </si>
  <si>
    <t>sieci kanalizacyjnej dł.63 m w Wapnicy)</t>
  </si>
  <si>
    <t>budowa sieci wod.-kan.z przepompownią</t>
  </si>
  <si>
    <t>w ul. Wąskiej w Wicku</t>
  </si>
  <si>
    <t>opracowanie projektu budowlanego na budowę</t>
  </si>
  <si>
    <t>przepompowni wraz z przyłączami do kanalizacji</t>
  </si>
  <si>
    <t>tłocznej i grawitacyjnej w ul.Wodnej m.Lubin</t>
  </si>
  <si>
    <t>remont Sali ślubów …</t>
  </si>
  <si>
    <t>opracowanie studium wykonalności projektu</t>
  </si>
  <si>
    <t>wraz z przygotowaniem wniosku o dofinans.</t>
  </si>
  <si>
    <t>inwestycji pn."Rozbudowa hali sportowej</t>
  </si>
  <si>
    <t>z zapleczem przy Szkole Podstawowej nr 1</t>
  </si>
  <si>
    <t>w Miedzyzdrojach oraz pełnienie funkcji</t>
  </si>
  <si>
    <t>hali sportowej przy Szkole Podstawowej nr 2</t>
  </si>
  <si>
    <t xml:space="preserve">(rezerwa celowa na pokrycie wydatków </t>
  </si>
  <si>
    <t>polegających na wniesieniu wkładów na poczet</t>
  </si>
  <si>
    <t>kapitału zakładowego planowanych do założenia</t>
  </si>
  <si>
    <t>trzech gminnych spółek z o.o.)</t>
  </si>
  <si>
    <t>celowa(realizacja zadań własnych</t>
  </si>
  <si>
    <t>z zakresu zarządzania kryzysowego)</t>
  </si>
  <si>
    <t>przebudowa ul.Orlej</t>
  </si>
  <si>
    <t>remont drogi w ul.Podgórnej w Wicku</t>
  </si>
  <si>
    <t>remont budynku urzędu (ocieplenie i elewacja,</t>
  </si>
  <si>
    <t>hali sportowej oraz budowa hali sportowej</t>
  </si>
  <si>
    <t>przy Gimnazjum  w Międzyzdrojach</t>
  </si>
  <si>
    <t>rekultywacja składowiska odpadów</t>
  </si>
  <si>
    <t>komunalnych w Międzyzdrojach</t>
  </si>
  <si>
    <t>nabycie nieruchomości na siedzibę ZOŚ</t>
  </si>
  <si>
    <t xml:space="preserve">budowa amfiteatru wraz  z  zapleczem </t>
  </si>
  <si>
    <t>(przebudowa budynku położonego przy ul.Promenada</t>
  </si>
  <si>
    <t xml:space="preserve">turystyki i promocji,itp.,realizacja współpracy </t>
  </si>
  <si>
    <t>zagraniczna i realizacja programów UE w zakresie:</t>
  </si>
  <si>
    <t>promocji,turystyki,wymiany młodzieży itp..)</t>
  </si>
  <si>
    <t>dzierżawcę na nieruchom.przy ul.Dabrówki 13</t>
  </si>
  <si>
    <t>rozbudowa hali sportowej przy szkole nr 1, z tego</t>
  </si>
  <si>
    <t>remonty komunalnych lokali mieszkalnych-MTBS</t>
  </si>
  <si>
    <t>odpisy na zakład.fundusz św.socjal.</t>
  </si>
  <si>
    <t>różne wydatki na rzecz osób fiz.(diety)</t>
  </si>
  <si>
    <t>różne wydatki na rzecz osób fizyczn.</t>
  </si>
  <si>
    <t>składki na ubezpieczenie społeczne</t>
  </si>
  <si>
    <t>koszty postępowania sądowego i prokuratorsk.</t>
  </si>
  <si>
    <t>odpisy na zakładowy fundusz świadczeń socj.</t>
  </si>
  <si>
    <t>wynagrodzenia agencyjno-prowizyjne</t>
  </si>
  <si>
    <t>odpisy na zakładowy fundusz świadczeń socjal.</t>
  </si>
  <si>
    <t>odpisy na zakładadowy fundusz świadcz.socjal.</t>
  </si>
  <si>
    <t>(dofinansowanie opieki nad dziećmi)-realizacja</t>
  </si>
  <si>
    <t>w ramach programu profilaktyki i rozwiązywania</t>
  </si>
  <si>
    <t>problemów alkoholowych</t>
  </si>
  <si>
    <t xml:space="preserve">zakup materiałów papierniczych do sprzętu </t>
  </si>
  <si>
    <t>urządzenie cmentarza w Międzyzdrojach</t>
  </si>
  <si>
    <t>w Międzyzdrojach</t>
  </si>
  <si>
    <t>po zmianach</t>
  </si>
  <si>
    <t>Załacznik nr 2</t>
  </si>
  <si>
    <t>opłata przyłaczeniowa do sieci gazowej Zalesie-</t>
  </si>
  <si>
    <t>WYTWARZANIE I ZAOPATRYWANIE</t>
  </si>
  <si>
    <t>W ENERGIĘ ELEKTRYCZNĄ,GAZ I WODĘ</t>
  </si>
  <si>
    <t>Dostarczanie wody</t>
  </si>
  <si>
    <t>wydatki na zakup i objęcie akcji,wniesienie wkładów</t>
  </si>
  <si>
    <t xml:space="preserve">do spółek prawa handlowego oraz na uzupełnienie </t>
  </si>
  <si>
    <t>funduszy statutowych banków państwowych</t>
  </si>
  <si>
    <t xml:space="preserve">i innych instytucji finansowych (wniesienie wkładu </t>
  </si>
  <si>
    <t>do ZWiK Sp. zo.o.)</t>
  </si>
  <si>
    <t>wydatki na zakupy inwestycyjne jedostek budżet.</t>
  </si>
  <si>
    <t>(urządzenie do komunalnego ujęcia wody)</t>
  </si>
  <si>
    <t>(Przebudowa drogi powiatowej Zalesie-</t>
  </si>
  <si>
    <t>Wapnica-Lubin)</t>
  </si>
  <si>
    <t>zakup usług remontowych (utwardzenie</t>
  </si>
  <si>
    <t>przebudowa ul.Kolejowej i remont ul.Norwida</t>
  </si>
  <si>
    <t>budowa 3 zejść na plażę przystosowanych dla</t>
  </si>
  <si>
    <t>osób niepełnosprawnych</t>
  </si>
  <si>
    <t xml:space="preserve">opłata przyłaczeniowa ul.Dobra-kontynuacja </t>
  </si>
  <si>
    <t>inwestycji</t>
  </si>
  <si>
    <t>budowa kładki na koronie wydmy</t>
  </si>
  <si>
    <t>budowa ścieżki rowerowej wzdłuż Promenady</t>
  </si>
  <si>
    <t>przebudowa ul.Bohaterów Warszawy-Promenada</t>
  </si>
  <si>
    <t>Gwiazd na odcinku od ul.Zdrojowej do przdłużenia</t>
  </si>
  <si>
    <t>ul.Traugutta wraz z ul.Zdrojową i Morską w M-jach</t>
  </si>
  <si>
    <t>Wicko-Wapnica-Lubin</t>
  </si>
  <si>
    <t>zakup usług pozostałych (dopłaty do biletów)</t>
  </si>
  <si>
    <t>targowej -Bohaterów Warszawy)</t>
  </si>
  <si>
    <t>(dodatkowe środki na dokumentację hali</t>
  </si>
  <si>
    <t>(zakup wiaty przystankowej)</t>
  </si>
  <si>
    <t>(Europejskie Centrum Różnorodności Biologicznej)</t>
  </si>
  <si>
    <t xml:space="preserve">wynagrodzenia osobowe pracowników </t>
  </si>
  <si>
    <t>Europejskie Centrum Różnorodności Biologicznej</t>
  </si>
  <si>
    <t>naprawa skutera wodnego</t>
  </si>
  <si>
    <t>ratownicy /kąpielisko strzeżone/</t>
  </si>
  <si>
    <t>opłaty  z tytułu zakupu usług telekomunikacyjnych</t>
  </si>
  <si>
    <t xml:space="preserve">telefonii komórkowej </t>
  </si>
  <si>
    <t>wyceny nieruchomości /geodezja/</t>
  </si>
  <si>
    <t>operaty szacunkowe-naliczenie opłat rocznych</t>
  </si>
  <si>
    <t>(opł.od pozwu-dot.nieruchom.przy ul.Norwida)</t>
  </si>
  <si>
    <t>aktualizacja projektu budowlanego na budowę budynku</t>
  </si>
  <si>
    <t>mieszkalnego przy ul.Skłodowskiej 5 oraz opracowanie</t>
  </si>
  <si>
    <t>projektu budowlanego na budowę bud.mieszk. Nr 6</t>
  </si>
  <si>
    <t xml:space="preserve">przy ul.Skłodowskiej w ramach zadania pn."Dokończenie </t>
  </si>
  <si>
    <t>budowy istniejącego budynku w trakcie budowy oraz</t>
  </si>
  <si>
    <t>(budynek w trakcie budowy przy ul.Skłodowskiej)</t>
  </si>
  <si>
    <t>koncepcja rewitalizacji zabudowy</t>
  </si>
  <si>
    <t>ekwiwalent za pranie odzieży roboczej</t>
  </si>
  <si>
    <t>opłaty na rzecz budżetu państwa</t>
  </si>
  <si>
    <t>zakup akcesoriów komputerowych</t>
  </si>
  <si>
    <t>zakup komputerów</t>
  </si>
  <si>
    <t>zakup serwera i oprogramowania serwera</t>
  </si>
  <si>
    <t>Promocja jednostek samorządu terytorialnego</t>
  </si>
  <si>
    <t>zakup materiałow i wyposażenia</t>
  </si>
  <si>
    <t>z Polski i z zagranicy oraz współpraca</t>
  </si>
  <si>
    <t>Związek Miast Bałtyckich</t>
  </si>
  <si>
    <t xml:space="preserve">zakup energii </t>
  </si>
  <si>
    <t>gaz -kotłownia</t>
  </si>
  <si>
    <t>energia -kotłownia</t>
  </si>
  <si>
    <t>zakup usług pozostałych (kotłownia)</t>
  </si>
  <si>
    <t>Wybory do rad gmin,rad powiatów i sejmików</t>
  </si>
  <si>
    <t>województw,wybory wójtów,burmistrzów</t>
  </si>
  <si>
    <t>powiatowe i wojewódzkie</t>
  </si>
  <si>
    <t>i prezydentów miast oraz referenda gminne,</t>
  </si>
  <si>
    <t>Straż Graniczna</t>
  </si>
  <si>
    <t>(umundurowanie i ekwiw.za pranie odzieży )</t>
  </si>
  <si>
    <t xml:space="preserve">zakup usług pozostałych (wzmocnienie </t>
  </si>
  <si>
    <t>bezpieczeństawa miasta)</t>
  </si>
  <si>
    <t>(wykonanie monitoringu miasta)</t>
  </si>
  <si>
    <t>odsetki od nieterminowych wpłat z tytułu</t>
  </si>
  <si>
    <t>pozostałych wpłat podatków i opłat</t>
  </si>
  <si>
    <t xml:space="preserve">podatek od nieruchomości </t>
  </si>
  <si>
    <t>wynagrodzenia bezosobowe(eksperci egzaminac.)</t>
  </si>
  <si>
    <t>"Moje boisko Orlik 2012"przy szkole  nr 2 Wapnica</t>
  </si>
  <si>
    <t>POLITYKI  SPOŁECZNEJ</t>
  </si>
  <si>
    <t>POZOSTAŁE ZADANIA W ZAKRESIE</t>
  </si>
  <si>
    <t>dot.dla ZOŚ-maszyna do sprzątania plaży</t>
  </si>
  <si>
    <t xml:space="preserve">dotacja dla ZOŚ-nowa siedziba </t>
  </si>
  <si>
    <t>i Gryfa Pomorskiego</t>
  </si>
  <si>
    <t>modernizacja kanalizacji deszczowej-ul.Myśliwska</t>
  </si>
  <si>
    <t xml:space="preserve">zakup sprzętu, nagłośnienie i oświetlanie sceny </t>
  </si>
  <si>
    <t>budynek WIKLINA</t>
  </si>
  <si>
    <t>przełożenie pokrycia dachowego-kościół w Lubinie</t>
  </si>
  <si>
    <t>remont dachu -kościół w Międzyzdrojach</t>
  </si>
  <si>
    <t>do Spółki PROMENADA)</t>
  </si>
  <si>
    <t xml:space="preserve">i innych instytucji finansowych(wniesienie wkładu </t>
  </si>
  <si>
    <t>kontener magazynowy</t>
  </si>
  <si>
    <t>majątkowe (inwestycyjne)</t>
  </si>
  <si>
    <t>dobudowa segmentu mieszkalnego przy ul.Skłodowskiej"</t>
  </si>
  <si>
    <t>podatek od nieruchomości (szkoła nr 1)</t>
  </si>
  <si>
    <t>Planowane wydatki na rok 2009 w porównaniu z przewidywanym wykonaniem roku 2008</t>
  </si>
  <si>
    <t>wykonanie</t>
  </si>
  <si>
    <t>2008r.</t>
  </si>
  <si>
    <t xml:space="preserve">Plan na </t>
  </si>
  <si>
    <t>rok 2009</t>
  </si>
  <si>
    <t>planu</t>
  </si>
  <si>
    <t>2009 r.</t>
  </si>
  <si>
    <t>nadzór inwestorski-remont ul.Geodezyjnej</t>
  </si>
  <si>
    <t>odpisy na zakładowy fundusz śwaidczeń socjalnych</t>
  </si>
  <si>
    <t>zakup akcesoriów komputerowych,w tym programów</t>
  </si>
  <si>
    <t>i licencji</t>
  </si>
  <si>
    <t>rozbudowa sieci kanalizacji sanitarnej w m.Lubin</t>
  </si>
  <si>
    <t>zakup urządzeń wielofunkcyjnych</t>
  </si>
  <si>
    <t>kredyt - 3.900.000 zł (15 lat)</t>
  </si>
  <si>
    <t>pożyczka z WFOŚ -2.527.784 zł</t>
  </si>
  <si>
    <t>inwestycyjnych innych jednostek sektora finansów</t>
  </si>
  <si>
    <t>publicznych (dotacja dla MDK -remont świetlicy</t>
  </si>
  <si>
    <t>WIKLINA)</t>
  </si>
  <si>
    <t>wynagrodzenia bezosobowe-zad.zlecone</t>
  </si>
  <si>
    <t>w tym.:</t>
  </si>
  <si>
    <t>podróże służbowe krajowe (zad.zlecone)</t>
  </si>
  <si>
    <t>szkolenia pracowników niebędących członkami korpusu</t>
  </si>
  <si>
    <t>(zad.zlecone)</t>
  </si>
  <si>
    <t>wynagrodzenia osobowe pracowników(gimnazjum)</t>
  </si>
  <si>
    <t>składki na ubezpieczenia społeczne (gimnazjum)</t>
  </si>
  <si>
    <t>składki na Fundusz Pracy (gimnazjum)</t>
  </si>
  <si>
    <t>stypendia szkolne</t>
  </si>
  <si>
    <t>wyprawka szkolna -szkoła nr1</t>
  </si>
  <si>
    <t>wyprawka szkolna -szkoła nr2</t>
  </si>
  <si>
    <t>dot.dla ZOŚ-zakup samochodu wielofunkcyjnego…</t>
  </si>
  <si>
    <t>opieka nad bezdomnymi zwierzętami</t>
  </si>
  <si>
    <t xml:space="preserve">badania hydrochemiczne  i inne prace związane </t>
  </si>
  <si>
    <t>z lokalizacją źródła zamnieczyszczenia wody</t>
  </si>
  <si>
    <t>w kąpielisku morskim</t>
  </si>
  <si>
    <t>rozbudowa placu zabaw przy hotelu Amber</t>
  </si>
  <si>
    <t>modernizacja Parku Zdrojowego wraz z moderni-</t>
  </si>
  <si>
    <t>zacją placu zabaw</t>
  </si>
  <si>
    <t>zakup samochodu dla SM</t>
  </si>
  <si>
    <t>zakup fotoradaru</t>
  </si>
  <si>
    <t>(projekt rozbudowy remizy OSP w Lubinie)</t>
  </si>
  <si>
    <t>zakup sprzętu hydraulicznego</t>
  </si>
  <si>
    <t>zakup używanego pojazdu gaśniczego</t>
  </si>
  <si>
    <t>zakup namiotu halowego</t>
  </si>
  <si>
    <t>akty notarialne i inne-spółki</t>
  </si>
  <si>
    <t>miasta Międzyzdroje</t>
  </si>
  <si>
    <t>system archiwizujący(urządzenie  wraz z oprogram.)</t>
  </si>
  <si>
    <t>opracowanie koncepcji informatyzacji sołectw Zalesie,</t>
  </si>
  <si>
    <t xml:space="preserve">Lubin,Wicko,Wapnica w szczególności pod kątem </t>
  </si>
  <si>
    <t xml:space="preserve">dostępu do sieci Internet dla wszystkich </t>
  </si>
  <si>
    <t>miasto i gmina</t>
  </si>
  <si>
    <t>"akcja zimowa"</t>
  </si>
  <si>
    <t>deratyzacja</t>
  </si>
  <si>
    <t>zakup usług remontowych(remonty placów zabaw</t>
  </si>
  <si>
    <t>nie objętych gwarancją)</t>
  </si>
  <si>
    <t>konserwacja oświetlenia ulicznego</t>
  </si>
  <si>
    <t xml:space="preserve">inne remonty </t>
  </si>
  <si>
    <t>wód gruntowych</t>
  </si>
  <si>
    <t>monitoring wód gruntowych w rejonie plaży kąpie-</t>
  </si>
  <si>
    <t xml:space="preserve">liska morskiego oraz likwidacja zanieczyszczeń </t>
  </si>
  <si>
    <t>zakup usług pozostałych (wykonanie zastępcze</t>
  </si>
  <si>
    <t xml:space="preserve">badania jakości wody w kąpielisku morskim </t>
  </si>
  <si>
    <t>w związku z udziałem w pilotażu Błękitna Flaga</t>
  </si>
  <si>
    <t>remonty cząstkowe dróg</t>
  </si>
  <si>
    <t>wych w mieście i sołectwach</t>
  </si>
  <si>
    <t>ulepszanie nawierzchni dróg</t>
  </si>
  <si>
    <t>naprawy drogowych urządzeń odwadniających</t>
  </si>
  <si>
    <t>naprawy studni chłonnych</t>
  </si>
  <si>
    <t>remonty chodników w mieście i sołectwach</t>
  </si>
  <si>
    <t>oznakowanie i urządzenia zabezpieczające</t>
  </si>
  <si>
    <t xml:space="preserve">inne usługi remontowe </t>
  </si>
  <si>
    <t>pielęgnacja zieleni w pasie drogowym</t>
  </si>
  <si>
    <t>(składki członkowskie-promocja)</t>
  </si>
  <si>
    <t xml:space="preserve">zwrot nakładów poczynionych na nieruchomości </t>
  </si>
  <si>
    <t>użytkowane bez tytułu prawnego przez FWP</t>
  </si>
  <si>
    <t>wykonanie projektu nowej strony internetowej</t>
  </si>
  <si>
    <t>ogłoszenia prasowe z zakresu planowania</t>
  </si>
  <si>
    <t>wymiana dwóch wind</t>
  </si>
  <si>
    <t>wymiana płyt chodnikowych</t>
  </si>
  <si>
    <t>adaptacja sali po kotłowni na salę ćwiczeń korekc.</t>
  </si>
  <si>
    <t>podróże słuzbowe zagraniczne</t>
  </si>
  <si>
    <t xml:space="preserve">zakup akcesorów komputerowych, w tym </t>
  </si>
  <si>
    <t>fundusz alimentacyjny</t>
  </si>
  <si>
    <t xml:space="preserve">zadania własne </t>
  </si>
  <si>
    <t>do objaśnień</t>
  </si>
  <si>
    <t>opłata za korzystanie ze środowiska</t>
  </si>
  <si>
    <t xml:space="preserve">wymiana dowodów osobistych </t>
  </si>
  <si>
    <t>sekcje sportowe</t>
  </si>
  <si>
    <t>zakup usług na stadionie</t>
  </si>
  <si>
    <t>różne wydatki na rzecz osób fizycznych</t>
  </si>
  <si>
    <t>lokali komunalnych za 2007 r.</t>
  </si>
  <si>
    <t>szkolnych i pozaszkolnych</t>
  </si>
  <si>
    <t xml:space="preserve">finansowanie nauki pracowników w formach </t>
  </si>
  <si>
    <t xml:space="preserve">sektora finansów publicznych </t>
  </si>
  <si>
    <t>i sali teatralnej i inne</t>
  </si>
  <si>
    <t>dotacje celowe przekazane gminie na inwestycje</t>
  </si>
  <si>
    <t>porozumień(umów)między jednostkami samorządu</t>
  </si>
  <si>
    <t>terytorialnego (partycypacja w budowie schroniska</t>
  </si>
  <si>
    <t>dla zwierząt w Sosnowicach -II etap)</t>
  </si>
  <si>
    <t>dotacja dla ZOŚ-dofinans.utrzymania stadionu</t>
  </si>
  <si>
    <t>dotacja dla ZOŚ-cmentarz</t>
  </si>
  <si>
    <t>i innych instytucji finansowych</t>
  </si>
  <si>
    <t>przekształceniu ZOŚ)</t>
  </si>
  <si>
    <t xml:space="preserve">(wniesienie wkładu do Spółki powstałej po </t>
  </si>
  <si>
    <t>pozostałe usługi</t>
  </si>
  <si>
    <t>szkoła nr 1-remont toalet na piętrze</t>
  </si>
  <si>
    <t>szkoła nr 1-remont kuchni</t>
  </si>
  <si>
    <t>wymiana instalacji elektrycznej w budynku nr1 oraz</t>
  </si>
  <si>
    <t>na zapleczu kuchennym</t>
  </si>
  <si>
    <t>wyprowadzenie wentylacji ze strychu na dach-</t>
  </si>
  <si>
    <t>budynek główny</t>
  </si>
  <si>
    <t>wykonanie zabezpieczeń pęknięć 3 ścian budynku</t>
  </si>
  <si>
    <t>wymiana wykładzin podłog.w klasach i korytarzach</t>
  </si>
  <si>
    <t>renont biura,schodów i podjazdu na boisko górne</t>
  </si>
  <si>
    <t>klatki schodowej</t>
  </si>
  <si>
    <t xml:space="preserve">wykonanie bieżni 3-torowej i skoczni do skoku </t>
  </si>
  <si>
    <t>w dal - boisko górne</t>
  </si>
  <si>
    <t>dokumentacja kosztorysowa na przebudowę</t>
  </si>
  <si>
    <t>wykonanie monitoringu boiska górnego</t>
  </si>
  <si>
    <t>wymiana instalacji wod.kan.,posadzki i WC w kuchni</t>
  </si>
  <si>
    <t>projekt budowlano-wykonawczy na budowę oświe-</t>
  </si>
  <si>
    <t>opłata za przyłączenie do sieci energetycznej budynku</t>
  </si>
  <si>
    <t>mieszkalnego przy ul.Ludowej 2 w Międzyzdrojach</t>
  </si>
  <si>
    <t>oraz modernizacja publicznego miejsca postojowego</t>
  </si>
  <si>
    <t>(budowa infrastruktury portu jachtowego w Wapnicy</t>
  </si>
  <si>
    <t>w Zalesiu Gmina Międzyzdroje)</t>
  </si>
  <si>
    <t xml:space="preserve">Inżyniera Kontraktu" </t>
  </si>
  <si>
    <t>opracowanie projektu na budowę biblioteki</t>
  </si>
  <si>
    <t>remont drogi w ul.Piaskowej</t>
  </si>
  <si>
    <t>rozbudowa sieci wod.kan w ul.Bałtyckiej</t>
  </si>
  <si>
    <t>rozbiórka bud.mieszkalnego-Norwida 19a</t>
  </si>
  <si>
    <t xml:space="preserve">remont i zmiana organizacji ruchu w ciągu </t>
  </si>
  <si>
    <t>z ul.Wodziczki do skrzyżowania z drogą powiatową</t>
  </si>
  <si>
    <t>ciągów pieszych -Plac Neptuna</t>
  </si>
  <si>
    <t>zagospodarowanie terenu wraz z remontem</t>
  </si>
  <si>
    <t>ciągów pieszych przy ul.Zwicięstwa (Rondo)</t>
  </si>
  <si>
    <t>remont drogi w ul.Orzeszkowej</t>
  </si>
  <si>
    <t>budowa drogi w ul.Nowomyśliwskiej</t>
  </si>
  <si>
    <t>remont boiska przy Szkole Podstawowej nr 1</t>
  </si>
  <si>
    <t>wydataki inwestycyjne jednostek budżetowych</t>
  </si>
  <si>
    <t>(budowa oświetlenia w ul.Wodziczki i Nowomyśli-</t>
  </si>
  <si>
    <t>opracowanie projektu budowlanego na rozbudowę</t>
  </si>
  <si>
    <t>kanalizacji sanitarnej w ul.Niepodległości</t>
  </si>
  <si>
    <t>modernizacja mechanicznej części oczyszczalni</t>
  </si>
  <si>
    <t>ścieków sanitarnych w Międzyzdrojach</t>
  </si>
  <si>
    <t xml:space="preserve">(zakup i montaż lodowiska przy ul.Bohaterów </t>
  </si>
  <si>
    <t>Warszawy-Amfiteatr)</t>
  </si>
  <si>
    <t>wskiej w Międzyzdrojach wraz z opł.przyłączeniową)</t>
  </si>
  <si>
    <t>opłata za przyłączenie do sieci energetycznej-</t>
  </si>
  <si>
    <t>parking przy ul.Komunalnej</t>
  </si>
  <si>
    <t>służby cywilnej (zad.zlecone, w 2009r.zad.własne)</t>
  </si>
  <si>
    <t>Zarządzanie kryzysowe</t>
  </si>
  <si>
    <t>remont schodów przy USC,montaż drzwi wejściowych</t>
  </si>
  <si>
    <t>wykonanie izolacji fundamentów oraz nadzór inwest.)</t>
  </si>
  <si>
    <t>zakup i montaż klimatyzacji -serwerownia</t>
  </si>
  <si>
    <t>realiz.projektu pn."Międzyzdroje w kwiatach"</t>
  </si>
  <si>
    <t>wynagrodzenia pracowników</t>
  </si>
  <si>
    <t>nagrody</t>
  </si>
  <si>
    <t>(siły wsparcia oraz remont budynku Komisariatu</t>
  </si>
  <si>
    <t>w Międzyzdrojach )</t>
  </si>
  <si>
    <t>celowa (realizacja zadań własnych z zakresu</t>
  </si>
  <si>
    <t>kultury fizycznej-stadion)</t>
  </si>
  <si>
    <t>bezpłatne szczepienia przeciwko grypie dla mieszkańców</t>
  </si>
  <si>
    <t>miasta i gminy Międzyzdroje od 65 roku życia )</t>
  </si>
  <si>
    <t>bezpłatne szczepienia przeciwko rakowi szyjki macicy</t>
  </si>
  <si>
    <t xml:space="preserve">dofinans.kosztów realizacji inwestycji i zakupów </t>
  </si>
  <si>
    <t>dla dziewcząt urodzonych w latach 1993-1994</t>
  </si>
  <si>
    <t xml:space="preserve">sposobów zapewnienia stałego szerokopasmowego </t>
  </si>
  <si>
    <t>utwardzenie nawierzchni gruntowej drogi-ul.Wąska..</t>
  </si>
  <si>
    <t>remonty przystanków,parkingów i miejsc postojo-</t>
  </si>
  <si>
    <t>ul.Niepodległości na odcinku od skrzyżowania</t>
  </si>
  <si>
    <t>i inne wydatki związane z realizacją programu</t>
  </si>
  <si>
    <t>koszty postępowania sądowego i prokuratorskiego</t>
  </si>
  <si>
    <t>z gminami partnerskimi i współpraca regionalna</t>
  </si>
  <si>
    <t>dotacja celowa z budżetu na finansow.lub</t>
  </si>
  <si>
    <t xml:space="preserve">zakup  usług pozostałych </t>
  </si>
  <si>
    <t>wydatki na zakupy inwestycyjne jednostek budżet.</t>
  </si>
  <si>
    <t>wynagrodzenia bezosobowe (szkoła nr 2)</t>
  </si>
  <si>
    <t>dot.dla  ZOŚ-zakup zestawu transportowego</t>
  </si>
  <si>
    <t>naczepy samochodowej o specjalnej konstrukcji</t>
  </si>
  <si>
    <t>z płytą prasującą</t>
  </si>
  <si>
    <t>i zakupy inwestycyjne realizowane na  podstawie</t>
  </si>
  <si>
    <t>Plan na 2008 r.</t>
  </si>
  <si>
    <t>składającego się z ciągnika siodłowego oraz</t>
  </si>
  <si>
    <t>przyłącza kanalizacyjnego-ul.Kolonijna 3 w  Wicku)</t>
  </si>
  <si>
    <t>zainteresowanych mieszkańców sołectw</t>
  </si>
  <si>
    <t>tlenia drogowego w ul.Mickiewicza i Rybackiej</t>
  </si>
  <si>
    <t>przebudowa klatki schodowej w bud.sali gimnastycznej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</si>
</sst>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9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4" fontId="0" fillId="0" borderId="4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4" xfId="0" applyNumberFormat="1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0" xfId="0" applyNumberFormat="1" applyFont="1" applyAlignment="1">
      <alignment horizontal="centerContinuous"/>
    </xf>
    <xf numFmtId="9" fontId="10" fillId="0" borderId="1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9" fontId="10" fillId="0" borderId="11" xfId="0" applyNumberFormat="1" applyFont="1" applyBorder="1" applyAlignment="1">
      <alignment/>
    </xf>
    <xf numFmtId="9" fontId="10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10" fontId="10" fillId="0" borderId="4" xfId="0" applyNumberFormat="1" applyFont="1" applyBorder="1" applyAlignment="1">
      <alignment/>
    </xf>
    <xf numFmtId="10" fontId="10" fillId="0" borderId="3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10" fontId="10" fillId="0" borderId="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10" fontId="10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4" fontId="0" fillId="0" borderId="0" xfId="0" applyNumberFormat="1" applyFont="1" applyAlignment="1">
      <alignment/>
    </xf>
    <xf numFmtId="10" fontId="11" fillId="0" borderId="4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Arkusz1!$E$988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Arkusz1!$F$988:$J$988</c:f>
              <c:numCache>
                <c:ptCount val="5"/>
                <c:pt idx="0">
                  <c:v>29800</c:v>
                </c:pt>
                <c:pt idx="1">
                  <c:v>29800</c:v>
                </c:pt>
                <c:pt idx="2">
                  <c:v>19736.28</c:v>
                </c:pt>
                <c:pt idx="3">
                  <c:v>0.6622912751677852</c:v>
                </c:pt>
                <c:pt idx="4">
                  <c:v>0.0004952672313233854</c:v>
                </c:pt>
              </c:numCache>
            </c:numRef>
          </c:val>
        </c:ser>
        <c:ser>
          <c:idx val="4"/>
          <c:order val="4"/>
          <c:tx>
            <c:strRef>
              <c:f>Arkusz1!$E$989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Arkusz1!$F$989:$J$989</c:f>
              <c:numCache>
                <c:ptCount val="5"/>
                <c:pt idx="0">
                  <c:v>21000</c:v>
                </c:pt>
                <c:pt idx="1">
                  <c:v>21000</c:v>
                </c:pt>
                <c:pt idx="2">
                  <c:v>11149.14</c:v>
                </c:pt>
                <c:pt idx="3">
                  <c:v>0.5309114285714286</c:v>
                </c:pt>
                <c:pt idx="4">
                  <c:v>0.0003490138207312448</c:v>
                </c:pt>
              </c:numCache>
            </c:numRef>
          </c:val>
        </c:ser>
        <c:ser>
          <c:idx val="5"/>
          <c:order val="5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axId val="64617132"/>
        <c:axId val="49330941"/>
      </c:barChart>
      <c:catAx>
        <c:axId val="64617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30941"/>
        <c:crosses val="autoZero"/>
        <c:auto val="1"/>
        <c:lblOffset val="100"/>
        <c:noMultiLvlLbl val="0"/>
      </c:catAx>
      <c:valAx>
        <c:axId val="49330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7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1"/>
  <sheetViews>
    <sheetView tabSelected="1" workbookViewId="0" topLeftCell="A629">
      <selection activeCell="I637" sqref="I637"/>
    </sheetView>
  </sheetViews>
  <sheetFormatPr defaultColWidth="9.00390625" defaultRowHeight="12.75"/>
  <cols>
    <col min="1" max="1" width="4.25390625" style="155" customWidth="1"/>
    <col min="2" max="2" width="6.00390625" style="0" customWidth="1"/>
    <col min="3" max="3" width="38.625" style="101" customWidth="1"/>
    <col min="4" max="4" width="12.00390625" style="27" hidden="1" customWidth="1"/>
    <col min="5" max="5" width="10.75390625" style="36" hidden="1" customWidth="1"/>
    <col min="6" max="6" width="13.875" style="36" customWidth="1"/>
    <col min="7" max="7" width="14.625" style="36" customWidth="1"/>
    <col min="8" max="8" width="13.875" style="36" customWidth="1"/>
    <col min="9" max="9" width="10.00390625" style="182" customWidth="1"/>
    <col min="10" max="10" width="7.125" style="182" customWidth="1"/>
  </cols>
  <sheetData>
    <row r="1" ht="12.75">
      <c r="F1" s="36" t="s">
        <v>445</v>
      </c>
    </row>
    <row r="2" ht="12.75">
      <c r="F2" s="36" t="s">
        <v>618</v>
      </c>
    </row>
    <row r="5" spans="1:8" ht="15">
      <c r="A5" s="154"/>
      <c r="B5" s="2" t="s">
        <v>535</v>
      </c>
      <c r="C5" s="104"/>
      <c r="D5" s="20"/>
      <c r="E5" s="33"/>
      <c r="F5" s="33"/>
      <c r="G5" s="33"/>
      <c r="H5" s="33"/>
    </row>
    <row r="6" spans="1:9" ht="12.75">
      <c r="A6" s="156"/>
      <c r="B6" s="39" t="s">
        <v>0</v>
      </c>
      <c r="C6" s="105"/>
      <c r="D6" s="21"/>
      <c r="E6" s="34"/>
      <c r="F6" s="34"/>
      <c r="G6" s="34"/>
      <c r="H6" s="34"/>
      <c r="I6" s="183"/>
    </row>
    <row r="7" spans="1:10" ht="12.75">
      <c r="A7" s="157"/>
      <c r="B7" s="3"/>
      <c r="C7" s="106"/>
      <c r="D7" s="22"/>
      <c r="E7" s="35"/>
      <c r="F7" s="35"/>
      <c r="G7" s="35"/>
      <c r="H7" s="35"/>
      <c r="I7" s="184"/>
      <c r="J7" s="184"/>
    </row>
    <row r="8" spans="1:10" ht="14.25" customHeight="1">
      <c r="A8" s="147"/>
      <c r="B8" s="4" t="s">
        <v>330</v>
      </c>
      <c r="C8" s="107"/>
      <c r="D8" s="30" t="s">
        <v>1</v>
      </c>
      <c r="E8" s="98" t="s">
        <v>158</v>
      </c>
      <c r="F8" s="224" t="s">
        <v>716</v>
      </c>
      <c r="G8" s="223" t="s">
        <v>1</v>
      </c>
      <c r="H8" s="212" t="s">
        <v>538</v>
      </c>
      <c r="I8" s="185" t="s">
        <v>2</v>
      </c>
      <c r="J8" s="186" t="s">
        <v>3</v>
      </c>
    </row>
    <row r="9" spans="1:10" ht="12.75">
      <c r="A9" s="147" t="s">
        <v>4</v>
      </c>
      <c r="B9" s="40" t="s">
        <v>331</v>
      </c>
      <c r="C9" s="107" t="s">
        <v>5</v>
      </c>
      <c r="D9" s="30" t="s">
        <v>6</v>
      </c>
      <c r="E9" s="99" t="s">
        <v>159</v>
      </c>
      <c r="F9" s="131" t="s">
        <v>444</v>
      </c>
      <c r="G9" s="131" t="s">
        <v>536</v>
      </c>
      <c r="H9" s="131" t="s">
        <v>539</v>
      </c>
      <c r="I9" s="185" t="s">
        <v>183</v>
      </c>
      <c r="J9" s="185" t="s">
        <v>540</v>
      </c>
    </row>
    <row r="10" spans="1:10" ht="12.75">
      <c r="A10" s="158"/>
      <c r="B10" s="5" t="s">
        <v>332</v>
      </c>
      <c r="C10" s="108"/>
      <c r="D10" s="31" t="s">
        <v>7</v>
      </c>
      <c r="E10" s="179" t="s">
        <v>160</v>
      </c>
      <c r="F10" s="132"/>
      <c r="G10" s="132" t="s">
        <v>537</v>
      </c>
      <c r="H10" s="132"/>
      <c r="I10" s="187" t="s">
        <v>161</v>
      </c>
      <c r="J10" s="187" t="s">
        <v>541</v>
      </c>
    </row>
    <row r="11" spans="1:10" ht="12.75">
      <c r="A11" s="159">
        <v>1</v>
      </c>
      <c r="B11" s="54">
        <v>2</v>
      </c>
      <c r="C11" s="109">
        <v>3</v>
      </c>
      <c r="D11" s="54"/>
      <c r="E11" s="54">
        <v>4</v>
      </c>
      <c r="F11" s="153">
        <v>4</v>
      </c>
      <c r="G11" s="153">
        <v>5</v>
      </c>
      <c r="H11" s="153">
        <v>6</v>
      </c>
      <c r="I11" s="188">
        <v>7</v>
      </c>
      <c r="J11" s="188">
        <v>8</v>
      </c>
    </row>
    <row r="12" spans="1:10" ht="12.75">
      <c r="A12" s="147">
        <v>1</v>
      </c>
      <c r="B12" s="8" t="s">
        <v>89</v>
      </c>
      <c r="C12" s="78" t="s">
        <v>92</v>
      </c>
      <c r="D12" s="25">
        <f>D69</f>
        <v>0</v>
      </c>
      <c r="E12" s="42" t="e">
        <f>E69</f>
        <v>#REF!</v>
      </c>
      <c r="F12" s="25">
        <f>F69</f>
        <v>864200</v>
      </c>
      <c r="G12" s="25">
        <f>G69</f>
        <v>89198.89</v>
      </c>
      <c r="H12" s="25">
        <f>H69</f>
        <v>792120</v>
      </c>
      <c r="I12" s="207">
        <f>H12/G12</f>
        <v>8.880379565261407</v>
      </c>
      <c r="J12" s="207">
        <f>H12/$H$59</f>
        <v>0.011825950778453519</v>
      </c>
    </row>
    <row r="13" spans="1:10" ht="12.75">
      <c r="A13" s="147"/>
      <c r="B13" s="90"/>
      <c r="C13" s="79"/>
      <c r="D13" s="23"/>
      <c r="E13" s="42"/>
      <c r="F13" s="133"/>
      <c r="G13" s="133"/>
      <c r="H13" s="133"/>
      <c r="I13" s="207"/>
      <c r="J13" s="207"/>
    </row>
    <row r="14" spans="1:10" ht="12.75">
      <c r="A14" s="147">
        <v>2</v>
      </c>
      <c r="B14" s="120">
        <v>400</v>
      </c>
      <c r="C14" s="196" t="s">
        <v>447</v>
      </c>
      <c r="D14" s="23"/>
      <c r="E14" s="42"/>
      <c r="F14" s="133"/>
      <c r="G14" s="133"/>
      <c r="H14" s="133"/>
      <c r="I14" s="207"/>
      <c r="J14" s="207"/>
    </row>
    <row r="15" spans="1:10" ht="12.75">
      <c r="A15" s="147"/>
      <c r="B15" s="90"/>
      <c r="C15" s="192" t="s">
        <v>448</v>
      </c>
      <c r="D15" s="23"/>
      <c r="E15" s="42"/>
      <c r="F15" s="133">
        <f>F92</f>
        <v>510000</v>
      </c>
      <c r="G15" s="133">
        <f>G92</f>
        <v>509997.08</v>
      </c>
      <c r="H15" s="133">
        <f>H92</f>
        <v>0</v>
      </c>
      <c r="I15" s="207">
        <f>H15/G15</f>
        <v>0</v>
      </c>
      <c r="J15" s="207">
        <f>H15/$H$59</f>
        <v>0</v>
      </c>
    </row>
    <row r="16" spans="1:10" ht="12.75">
      <c r="A16" s="147"/>
      <c r="B16" s="90"/>
      <c r="C16" s="192"/>
      <c r="D16" s="23"/>
      <c r="E16" s="42"/>
      <c r="F16" s="133"/>
      <c r="G16" s="133"/>
      <c r="H16" s="133"/>
      <c r="I16" s="207"/>
      <c r="J16" s="207"/>
    </row>
    <row r="17" spans="1:10" ht="12.75">
      <c r="A17" s="147">
        <v>3</v>
      </c>
      <c r="B17" s="120">
        <v>600</v>
      </c>
      <c r="C17" s="78" t="s">
        <v>91</v>
      </c>
      <c r="D17" s="25">
        <f>D102</f>
        <v>0</v>
      </c>
      <c r="E17" s="42" t="e">
        <f>E102</f>
        <v>#REF!</v>
      </c>
      <c r="F17" s="25">
        <f>F102</f>
        <v>15729510.2</v>
      </c>
      <c r="G17" s="25">
        <f>G102</f>
        <v>2531017.19</v>
      </c>
      <c r="H17" s="25">
        <f>H102</f>
        <v>15485962.95</v>
      </c>
      <c r="I17" s="207">
        <f>H17/G17</f>
        <v>6.118474031383406</v>
      </c>
      <c r="J17" s="207">
        <f>H17/$H$59</f>
        <v>0.2311975907736894</v>
      </c>
    </row>
    <row r="18" spans="1:10" ht="15">
      <c r="A18" s="147"/>
      <c r="B18" s="91"/>
      <c r="C18" s="78"/>
      <c r="D18" s="25"/>
      <c r="E18" s="42"/>
      <c r="F18" s="133"/>
      <c r="G18" s="133"/>
      <c r="H18" s="133"/>
      <c r="I18" s="207"/>
      <c r="J18" s="207"/>
    </row>
    <row r="19" spans="1:10" ht="12.75">
      <c r="A19" s="147">
        <v>4</v>
      </c>
      <c r="B19" s="61">
        <v>630</v>
      </c>
      <c r="C19" s="78" t="s">
        <v>123</v>
      </c>
      <c r="D19" s="23"/>
      <c r="E19" s="42" t="e">
        <f>E175</f>
        <v>#REF!</v>
      </c>
      <c r="F19" s="25">
        <f>F175</f>
        <v>510000</v>
      </c>
      <c r="G19" s="25">
        <f>G175</f>
        <v>509878</v>
      </c>
      <c r="H19" s="25">
        <f>H175</f>
        <v>1707390</v>
      </c>
      <c r="I19" s="207">
        <f>H19/G19</f>
        <v>3.3486245729370556</v>
      </c>
      <c r="J19" s="207">
        <f>H19/$H$59</f>
        <v>0.025490468741634797</v>
      </c>
    </row>
    <row r="20" spans="1:10" ht="12.75">
      <c r="A20" s="147"/>
      <c r="B20" s="61"/>
      <c r="C20" s="78"/>
      <c r="D20" s="23"/>
      <c r="E20" s="42"/>
      <c r="F20" s="133"/>
      <c r="G20" s="133"/>
      <c r="H20" s="133"/>
      <c r="I20" s="207"/>
      <c r="J20" s="207"/>
    </row>
    <row r="21" spans="1:10" ht="12.75">
      <c r="A21" s="147">
        <v>5</v>
      </c>
      <c r="B21" s="61">
        <v>700</v>
      </c>
      <c r="C21" s="78" t="s">
        <v>94</v>
      </c>
      <c r="D21" s="25">
        <f>SUM(D250)</f>
        <v>0</v>
      </c>
      <c r="E21" s="42" t="e">
        <f>E250</f>
        <v>#REF!</v>
      </c>
      <c r="F21" s="25">
        <f>F250</f>
        <v>3893112</v>
      </c>
      <c r="G21" s="25">
        <f>G250</f>
        <v>3733111.04</v>
      </c>
      <c r="H21" s="25">
        <f>H250</f>
        <v>2394243.92</v>
      </c>
      <c r="I21" s="207">
        <f>H21/G21</f>
        <v>0.6413535237355276</v>
      </c>
      <c r="J21" s="207">
        <f>H21/$H$59</f>
        <v>0.03574485021149776</v>
      </c>
    </row>
    <row r="22" spans="1:10" ht="12.75">
      <c r="A22" s="147"/>
      <c r="B22" s="90"/>
      <c r="C22" s="79"/>
      <c r="D22" s="23"/>
      <c r="E22" s="42"/>
      <c r="F22" s="133"/>
      <c r="G22" s="133"/>
      <c r="H22" s="133"/>
      <c r="I22" s="207"/>
      <c r="J22" s="207"/>
    </row>
    <row r="23" spans="1:10" ht="12.75">
      <c r="A23" s="147">
        <v>6</v>
      </c>
      <c r="B23" s="61">
        <v>710</v>
      </c>
      <c r="C23" s="78" t="s">
        <v>96</v>
      </c>
      <c r="D23" s="25"/>
      <c r="E23" s="42" t="e">
        <f>E300</f>
        <v>#REF!</v>
      </c>
      <c r="F23" s="25">
        <f>F300</f>
        <v>1035547</v>
      </c>
      <c r="G23" s="25">
        <f>G300</f>
        <v>1035547</v>
      </c>
      <c r="H23" s="25">
        <f>H300</f>
        <v>2363202</v>
      </c>
      <c r="I23" s="207">
        <f>H23/G23</f>
        <v>2.2820808712690006</v>
      </c>
      <c r="J23" s="207">
        <f>H23/$H$59</f>
        <v>0.03528141005345518</v>
      </c>
    </row>
    <row r="24" spans="1:10" ht="12.75">
      <c r="A24" s="147"/>
      <c r="B24" s="90"/>
      <c r="C24" s="78"/>
      <c r="D24" s="25" t="e">
        <f>SUM(#REF!)</f>
        <v>#REF!</v>
      </c>
      <c r="E24" s="42"/>
      <c r="F24" s="133"/>
      <c r="G24" s="133"/>
      <c r="H24" s="133"/>
      <c r="I24" s="207"/>
      <c r="J24" s="207"/>
    </row>
    <row r="25" spans="1:10" ht="12.75">
      <c r="A25" s="147">
        <v>7</v>
      </c>
      <c r="B25" s="61">
        <v>750</v>
      </c>
      <c r="C25" s="78" t="s">
        <v>98</v>
      </c>
      <c r="D25" s="23"/>
      <c r="E25" s="42" t="e">
        <f>E329</f>
        <v>#REF!</v>
      </c>
      <c r="F25" s="25">
        <f>F329</f>
        <v>5739685.65</v>
      </c>
      <c r="G25" s="25">
        <f>G329</f>
        <v>5737916.49</v>
      </c>
      <c r="H25" s="25">
        <f>H329</f>
        <v>6622850</v>
      </c>
      <c r="I25" s="207">
        <f>H25/G25</f>
        <v>1.154225581976011</v>
      </c>
      <c r="J25" s="207">
        <f>H25/$H$59</f>
        <v>0.09887579926410252</v>
      </c>
    </row>
    <row r="26" spans="1:10" ht="12.75">
      <c r="A26" s="147"/>
      <c r="B26" s="90"/>
      <c r="C26" s="78"/>
      <c r="D26" s="25">
        <f>SUM(D649)</f>
        <v>0</v>
      </c>
      <c r="E26" s="42"/>
      <c r="F26" s="133"/>
      <c r="G26" s="133"/>
      <c r="H26" s="133"/>
      <c r="I26" s="207"/>
      <c r="J26" s="207"/>
    </row>
    <row r="27" spans="1:10" ht="12.75">
      <c r="A27" s="147">
        <v>8</v>
      </c>
      <c r="B27" s="92">
        <v>751</v>
      </c>
      <c r="C27" s="80" t="s">
        <v>124</v>
      </c>
      <c r="D27" s="23"/>
      <c r="E27" s="42"/>
      <c r="F27" s="133"/>
      <c r="G27" s="133"/>
      <c r="H27" s="133"/>
      <c r="I27" s="207"/>
      <c r="J27" s="207"/>
    </row>
    <row r="28" spans="1:10" ht="12.75">
      <c r="A28" s="147"/>
      <c r="B28" s="92"/>
      <c r="C28" s="80" t="s">
        <v>125</v>
      </c>
      <c r="D28" s="25" t="e">
        <f>SUM(#REF!)</f>
        <v>#REF!</v>
      </c>
      <c r="E28" s="42"/>
      <c r="F28" s="133"/>
      <c r="G28" s="133"/>
      <c r="H28" s="133"/>
      <c r="I28" s="207"/>
      <c r="J28" s="207"/>
    </row>
    <row r="29" spans="1:10" ht="12.75">
      <c r="A29" s="147"/>
      <c r="B29" s="92"/>
      <c r="C29" s="80" t="s">
        <v>126</v>
      </c>
      <c r="D29" s="23"/>
      <c r="E29" s="42" t="e">
        <f>E527</f>
        <v>#REF!</v>
      </c>
      <c r="F29" s="25">
        <f>F527</f>
        <v>4848</v>
      </c>
      <c r="G29" s="25">
        <f>G527</f>
        <v>4848</v>
      </c>
      <c r="H29" s="25">
        <f>H527</f>
        <v>1140</v>
      </c>
      <c r="I29" s="207">
        <f>H29/G29</f>
        <v>0.23514851485148514</v>
      </c>
      <c r="J29" s="207">
        <f>H29/$H$59</f>
        <v>1.701962314729714E-05</v>
      </c>
    </row>
    <row r="30" spans="1:10" ht="12.75">
      <c r="A30" s="147"/>
      <c r="B30" s="90"/>
      <c r="C30" s="78"/>
      <c r="D30" s="25" t="e">
        <f>SUM(#REF!)</f>
        <v>#REF!</v>
      </c>
      <c r="E30" s="42"/>
      <c r="F30" s="133"/>
      <c r="G30" s="133"/>
      <c r="H30" s="133"/>
      <c r="I30" s="207"/>
      <c r="J30" s="207"/>
    </row>
    <row r="31" spans="1:10" ht="12.75">
      <c r="A31" s="147">
        <v>9</v>
      </c>
      <c r="B31" s="92">
        <v>754</v>
      </c>
      <c r="C31" s="80" t="s">
        <v>101</v>
      </c>
      <c r="D31" s="23"/>
      <c r="E31" s="42"/>
      <c r="F31" s="133"/>
      <c r="G31" s="133"/>
      <c r="H31" s="133"/>
      <c r="I31" s="207"/>
      <c r="J31" s="207"/>
    </row>
    <row r="32" spans="1:10" ht="12.75">
      <c r="A32" s="147"/>
      <c r="B32" s="92"/>
      <c r="C32" s="80" t="s">
        <v>102</v>
      </c>
      <c r="D32" s="25" t="e">
        <f>SUM(#REF!)</f>
        <v>#REF!</v>
      </c>
      <c r="E32" s="42" t="e">
        <f>E546</f>
        <v>#REF!</v>
      </c>
      <c r="F32" s="25">
        <f>F546</f>
        <v>1281050</v>
      </c>
      <c r="G32" s="25">
        <f>G546</f>
        <v>1268841</v>
      </c>
      <c r="H32" s="25">
        <f>H546</f>
        <v>1897308</v>
      </c>
      <c r="I32" s="207">
        <f>H32/G32</f>
        <v>1.495307922742093</v>
      </c>
      <c r="J32" s="207">
        <f>H32/$H$59</f>
        <v>0.028325848381010568</v>
      </c>
    </row>
    <row r="33" spans="1:10" ht="12.75">
      <c r="A33" s="147"/>
      <c r="B33" s="90"/>
      <c r="C33" s="79"/>
      <c r="D33" s="23"/>
      <c r="E33" s="42"/>
      <c r="F33" s="133"/>
      <c r="G33" s="133"/>
      <c r="H33" s="133"/>
      <c r="I33" s="207"/>
      <c r="J33" s="207"/>
    </row>
    <row r="34" spans="1:10" ht="12.75">
      <c r="A34" s="147">
        <v>10</v>
      </c>
      <c r="B34" s="92">
        <v>757</v>
      </c>
      <c r="C34" s="80" t="s">
        <v>104</v>
      </c>
      <c r="D34" s="25" t="e">
        <f>#REF!</f>
        <v>#REF!</v>
      </c>
      <c r="E34" s="42" t="e">
        <f>E624</f>
        <v>#REF!</v>
      </c>
      <c r="F34" s="25">
        <f>F624</f>
        <v>383100</v>
      </c>
      <c r="G34" s="25">
        <f>G624</f>
        <v>378982.68</v>
      </c>
      <c r="H34" s="25">
        <f>H624</f>
        <v>600000</v>
      </c>
      <c r="I34" s="207">
        <f>H34/G34</f>
        <v>1.5831858068025695</v>
      </c>
      <c r="J34" s="207">
        <f>H34/$H$59</f>
        <v>0.008957696393314285</v>
      </c>
    </row>
    <row r="35" spans="1:10" ht="12.75">
      <c r="A35" s="147"/>
      <c r="B35" s="90"/>
      <c r="C35" s="79"/>
      <c r="D35" s="23"/>
      <c r="E35" s="42"/>
      <c r="F35" s="133"/>
      <c r="G35" s="133"/>
      <c r="H35" s="133"/>
      <c r="I35" s="207"/>
      <c r="J35" s="207"/>
    </row>
    <row r="36" spans="1:10" ht="12.75">
      <c r="A36" s="147">
        <v>11</v>
      </c>
      <c r="B36" s="92">
        <v>758</v>
      </c>
      <c r="C36" s="80" t="s">
        <v>85</v>
      </c>
      <c r="D36" s="25" t="e">
        <f>SUM(#REF!)</f>
        <v>#REF!</v>
      </c>
      <c r="E36" s="42">
        <f>E638</f>
        <v>183335</v>
      </c>
      <c r="F36" s="25">
        <f>F638</f>
        <v>179350.35</v>
      </c>
      <c r="G36" s="25">
        <f>G638</f>
        <v>0</v>
      </c>
      <c r="H36" s="25">
        <f>H638</f>
        <v>365276</v>
      </c>
      <c r="I36" s="207"/>
      <c r="J36" s="207">
        <f>H36/$H$59</f>
        <v>0.005453385846273782</v>
      </c>
    </row>
    <row r="37" spans="1:10" ht="12.75">
      <c r="A37" s="147"/>
      <c r="B37" s="90"/>
      <c r="C37" s="79"/>
      <c r="D37" s="23"/>
      <c r="E37" s="42"/>
      <c r="F37" s="133"/>
      <c r="G37" s="133"/>
      <c r="H37" s="133"/>
      <c r="I37" s="207"/>
      <c r="J37" s="207"/>
    </row>
    <row r="38" spans="1:10" ht="15">
      <c r="A38" s="147">
        <v>12</v>
      </c>
      <c r="B38" s="91">
        <v>801</v>
      </c>
      <c r="C38" s="78" t="s">
        <v>8</v>
      </c>
      <c r="D38" s="25" t="e">
        <f>SUM(#REF!)</f>
        <v>#REF!</v>
      </c>
      <c r="E38" s="42" t="e">
        <f>E649</f>
        <v>#REF!</v>
      </c>
      <c r="F38" s="25">
        <f>F649</f>
        <v>20507832.83</v>
      </c>
      <c r="G38" s="25">
        <f>G649</f>
        <v>18859066.55</v>
      </c>
      <c r="H38" s="25">
        <f>H649</f>
        <v>11519358</v>
      </c>
      <c r="I38" s="207">
        <f>H38/G38</f>
        <v>0.6108127339950449</v>
      </c>
      <c r="J38" s="207">
        <f>H38/$H$59</f>
        <v>0.17197818601649342</v>
      </c>
    </row>
    <row r="39" spans="1:10" ht="12.75">
      <c r="A39" s="147"/>
      <c r="B39" s="90"/>
      <c r="C39" s="79"/>
      <c r="D39" s="23"/>
      <c r="E39" s="42"/>
      <c r="F39" s="133"/>
      <c r="G39" s="133"/>
      <c r="H39" s="133"/>
      <c r="I39" s="207"/>
      <c r="J39" s="207"/>
    </row>
    <row r="40" spans="1:10" ht="12.75">
      <c r="A40" s="147">
        <v>13</v>
      </c>
      <c r="B40" s="61">
        <v>851</v>
      </c>
      <c r="C40" s="78" t="s">
        <v>9</v>
      </c>
      <c r="D40" s="25"/>
      <c r="E40" s="42" t="e">
        <f>E974</f>
        <v>#REF!</v>
      </c>
      <c r="F40" s="25">
        <f>F974</f>
        <v>499000</v>
      </c>
      <c r="G40" s="25">
        <f>G974</f>
        <v>370000</v>
      </c>
      <c r="H40" s="25">
        <f>H974</f>
        <v>674600</v>
      </c>
      <c r="I40" s="207">
        <f>H40/G40</f>
        <v>1.8232432432432433</v>
      </c>
      <c r="J40" s="207">
        <f>H40/$H$59</f>
        <v>0.010071436644883029</v>
      </c>
    </row>
    <row r="41" spans="1:10" ht="12.75">
      <c r="A41" s="147"/>
      <c r="B41" s="61"/>
      <c r="C41" s="78"/>
      <c r="D41" s="25"/>
      <c r="E41" s="42"/>
      <c r="F41" s="133"/>
      <c r="G41" s="133"/>
      <c r="H41" s="133"/>
      <c r="I41" s="207"/>
      <c r="J41" s="207"/>
    </row>
    <row r="42" spans="1:10" ht="12.75">
      <c r="A42" s="147">
        <v>15</v>
      </c>
      <c r="B42" s="61">
        <v>852</v>
      </c>
      <c r="C42" s="78" t="s">
        <v>191</v>
      </c>
      <c r="D42" s="25"/>
      <c r="E42" s="42"/>
      <c r="F42" s="25">
        <f>F1017</f>
        <v>3068393</v>
      </c>
      <c r="G42" s="25">
        <f>G1017</f>
        <v>3068393</v>
      </c>
      <c r="H42" s="25">
        <f>H1017</f>
        <v>3271560</v>
      </c>
      <c r="I42" s="207">
        <f>H42/G42</f>
        <v>1.0662128351876698</v>
      </c>
      <c r="J42" s="207">
        <f>H42/$H$59</f>
        <v>0.04884273535418547</v>
      </c>
    </row>
    <row r="43" spans="1:10" ht="12.75">
      <c r="A43" s="147"/>
      <c r="B43" s="61"/>
      <c r="C43" s="78"/>
      <c r="D43" s="25"/>
      <c r="E43" s="42"/>
      <c r="F43" s="133"/>
      <c r="G43" s="133"/>
      <c r="H43" s="133"/>
      <c r="I43" s="207"/>
      <c r="J43" s="207"/>
    </row>
    <row r="44" spans="1:10" ht="12.75">
      <c r="A44" s="147">
        <v>14</v>
      </c>
      <c r="B44" s="61">
        <v>853</v>
      </c>
      <c r="C44" s="192" t="s">
        <v>520</v>
      </c>
      <c r="D44" s="25"/>
      <c r="E44" s="42"/>
      <c r="F44" s="133"/>
      <c r="G44" s="133"/>
      <c r="H44" s="133"/>
      <c r="I44" s="207"/>
      <c r="J44" s="207"/>
    </row>
    <row r="45" spans="1:10" ht="12.75">
      <c r="A45" s="147"/>
      <c r="B45" s="61"/>
      <c r="C45" s="192" t="s">
        <v>519</v>
      </c>
      <c r="D45" s="25"/>
      <c r="E45" s="42"/>
      <c r="F45" s="133">
        <f>F1157</f>
        <v>69047</v>
      </c>
      <c r="G45" s="133">
        <f>G1157</f>
        <v>69047</v>
      </c>
      <c r="H45" s="133">
        <f>H1157</f>
        <v>0</v>
      </c>
      <c r="I45" s="207">
        <f>H45/G45</f>
        <v>0</v>
      </c>
      <c r="J45" s="207">
        <f>H45/$H$59</f>
        <v>0</v>
      </c>
    </row>
    <row r="46" spans="1:10" ht="12.75">
      <c r="A46" s="147"/>
      <c r="B46" s="61"/>
      <c r="C46" s="192"/>
      <c r="D46" s="25"/>
      <c r="E46" s="42"/>
      <c r="F46" s="133"/>
      <c r="G46" s="133"/>
      <c r="H46" s="133"/>
      <c r="I46" s="207"/>
      <c r="J46" s="207"/>
    </row>
    <row r="47" spans="1:10" ht="12.75">
      <c r="A47" s="147"/>
      <c r="B47" s="90"/>
      <c r="C47" s="78"/>
      <c r="D47" s="25" t="e">
        <f>SUM(#REF!)</f>
        <v>#REF!</v>
      </c>
      <c r="E47" s="42"/>
      <c r="F47" s="133"/>
      <c r="G47" s="133"/>
      <c r="H47" s="133"/>
      <c r="I47" s="207"/>
      <c r="J47" s="207"/>
    </row>
    <row r="48" spans="1:10" ht="12.75">
      <c r="A48" s="147">
        <v>16</v>
      </c>
      <c r="B48" s="61">
        <v>854</v>
      </c>
      <c r="C48" s="78" t="s">
        <v>111</v>
      </c>
      <c r="D48" s="25"/>
      <c r="E48" s="42" t="e">
        <f>E1179</f>
        <v>#REF!</v>
      </c>
      <c r="F48" s="25">
        <f>F1179</f>
        <v>317672.08999999997</v>
      </c>
      <c r="G48" s="25">
        <f>G1179</f>
        <v>317672.08999999997</v>
      </c>
      <c r="H48" s="25">
        <f>H1179</f>
        <v>266016</v>
      </c>
      <c r="I48" s="207">
        <f>H48/G48</f>
        <v>0.8373917897540197</v>
      </c>
      <c r="J48" s="207">
        <f>H48/$H$59</f>
        <v>0.003971484272939822</v>
      </c>
    </row>
    <row r="49" spans="1:10" ht="12.75">
      <c r="A49" s="147"/>
      <c r="B49" s="90"/>
      <c r="C49" s="78"/>
      <c r="D49" s="25" t="e">
        <f>#REF!</f>
        <v>#REF!</v>
      </c>
      <c r="E49" s="42"/>
      <c r="F49" s="133"/>
      <c r="G49" s="133"/>
      <c r="H49" s="133"/>
      <c r="I49" s="207"/>
      <c r="J49" s="207"/>
    </row>
    <row r="50" spans="1:10" ht="12.75">
      <c r="A50" s="147">
        <v>17</v>
      </c>
      <c r="B50" s="61">
        <v>900</v>
      </c>
      <c r="C50" s="78" t="s">
        <v>115</v>
      </c>
      <c r="D50" s="23"/>
      <c r="E50" s="42"/>
      <c r="F50" s="133"/>
      <c r="G50" s="133"/>
      <c r="H50" s="133"/>
      <c r="I50" s="207"/>
      <c r="J50" s="207"/>
    </row>
    <row r="51" spans="1:10" ht="12.75">
      <c r="A51" s="147"/>
      <c r="B51" s="61"/>
      <c r="C51" s="78" t="s">
        <v>116</v>
      </c>
      <c r="D51" s="25" t="e">
        <f>SUM(#REF!)</f>
        <v>#REF!</v>
      </c>
      <c r="E51" s="42" t="e">
        <f>E1245</f>
        <v>#REF!</v>
      </c>
      <c r="F51" s="25">
        <f>F1245</f>
        <v>10364146</v>
      </c>
      <c r="G51" s="25">
        <f>G1245</f>
        <v>6580131.24</v>
      </c>
      <c r="H51" s="25">
        <f>H1245</f>
        <v>10853754.719999999</v>
      </c>
      <c r="I51" s="207">
        <f>H51/G51</f>
        <v>1.6494738971194134</v>
      </c>
      <c r="J51" s="207">
        <f>H51/$H$59</f>
        <v>0.16204106584876982</v>
      </c>
    </row>
    <row r="52" spans="1:10" ht="12.75">
      <c r="A52" s="147"/>
      <c r="B52" s="90"/>
      <c r="C52" s="78"/>
      <c r="D52" s="25"/>
      <c r="E52" s="42"/>
      <c r="F52" s="133"/>
      <c r="G52" s="133"/>
      <c r="H52" s="133"/>
      <c r="I52" s="207"/>
      <c r="J52" s="207"/>
    </row>
    <row r="53" spans="1:10" ht="12.75">
      <c r="A53" s="147">
        <v>18</v>
      </c>
      <c r="B53" s="61">
        <v>921</v>
      </c>
      <c r="C53" s="78" t="s">
        <v>120</v>
      </c>
      <c r="D53" s="25" t="e">
        <f>#REF!</f>
        <v>#REF!</v>
      </c>
      <c r="E53" s="42"/>
      <c r="F53" s="133"/>
      <c r="G53" s="133"/>
      <c r="H53" s="133"/>
      <c r="I53" s="207"/>
      <c r="J53" s="207"/>
    </row>
    <row r="54" spans="1:10" ht="12.75">
      <c r="A54" s="147"/>
      <c r="B54" s="93"/>
      <c r="C54" s="110" t="s">
        <v>121</v>
      </c>
      <c r="D54" s="38"/>
      <c r="E54" s="42" t="e">
        <f>E1367</f>
        <v>#REF!</v>
      </c>
      <c r="F54" s="25">
        <f>F1367</f>
        <v>8733849</v>
      </c>
      <c r="G54" s="25">
        <f>G1367</f>
        <v>8614766.1</v>
      </c>
      <c r="H54" s="25">
        <f>H1367</f>
        <v>7040885</v>
      </c>
      <c r="I54" s="207">
        <f>H54/G54</f>
        <v>0.817304256235117</v>
      </c>
      <c r="J54" s="207">
        <f>H54/$H$59</f>
        <v>0.10511685028373442</v>
      </c>
    </row>
    <row r="55" spans="1:10" ht="12.75">
      <c r="A55" s="147"/>
      <c r="B55" s="93"/>
      <c r="C55" s="111"/>
      <c r="D55" s="23"/>
      <c r="E55" s="42"/>
      <c r="F55" s="133"/>
      <c r="G55" s="133"/>
      <c r="H55" s="133"/>
      <c r="I55" s="207"/>
      <c r="J55" s="207"/>
    </row>
    <row r="56" spans="1:10" ht="12.75">
      <c r="A56" s="147">
        <v>19</v>
      </c>
      <c r="B56" s="93">
        <v>926</v>
      </c>
      <c r="C56" s="111" t="s">
        <v>148</v>
      </c>
      <c r="D56" s="23"/>
      <c r="E56" s="42" t="e">
        <f>E1408</f>
        <v>#REF!</v>
      </c>
      <c r="F56" s="25">
        <f>F1408</f>
        <v>243340</v>
      </c>
      <c r="G56" s="25">
        <f>G1408</f>
        <v>243293</v>
      </c>
      <c r="H56" s="25">
        <f>H1408</f>
        <v>1125840</v>
      </c>
      <c r="I56" s="207">
        <f>H56/G56</f>
        <v>4.627506751119021</v>
      </c>
      <c r="J56" s="207">
        <f>H56/$H$59</f>
        <v>0.016808221512414925</v>
      </c>
    </row>
    <row r="57" spans="1:10" ht="12" customHeight="1">
      <c r="A57" s="158"/>
      <c r="B57" s="94"/>
      <c r="C57" s="112"/>
      <c r="D57" s="24"/>
      <c r="E57" s="43"/>
      <c r="F57" s="134"/>
      <c r="G57" s="134"/>
      <c r="H57" s="134"/>
      <c r="I57" s="208"/>
      <c r="J57" s="207"/>
    </row>
    <row r="58" spans="1:10" ht="12.75">
      <c r="A58" s="160"/>
      <c r="B58" s="89"/>
      <c r="C58" s="111"/>
      <c r="D58" s="23"/>
      <c r="E58" s="42"/>
      <c r="F58" s="133"/>
      <c r="G58" s="133"/>
      <c r="H58" s="133"/>
      <c r="I58" s="209"/>
      <c r="J58" s="209"/>
    </row>
    <row r="59" spans="1:10" s="60" customFormat="1" ht="12.75">
      <c r="A59" s="161"/>
      <c r="B59" s="89"/>
      <c r="C59" s="111" t="s">
        <v>10</v>
      </c>
      <c r="D59" s="58" t="e">
        <f>D53+D51+D49+#REF!+D47+D38+D36+D34+D32+D30+D28+D26+D24+D21+D17+D12+#REF!</f>
        <v>#REF!</v>
      </c>
      <c r="E59" s="59" t="e">
        <f>SUM(E12:E56)</f>
        <v>#REF!</v>
      </c>
      <c r="F59" s="58">
        <f>SUM(F12:F56)</f>
        <v>73933683.12</v>
      </c>
      <c r="G59" s="58">
        <f>SUM(G12:G56)</f>
        <v>53921706.35000001</v>
      </c>
      <c r="H59" s="58">
        <f>SUM(H12:H56)</f>
        <v>66981506.589999996</v>
      </c>
      <c r="I59" s="207">
        <f>H59/G59</f>
        <v>1.242199313115765</v>
      </c>
      <c r="J59" s="207">
        <f>H59/$H$59</f>
        <v>1</v>
      </c>
    </row>
    <row r="60" spans="1:10" ht="12.75">
      <c r="A60" s="160"/>
      <c r="B60" s="17"/>
      <c r="C60" s="113" t="s">
        <v>11</v>
      </c>
      <c r="D60" s="23"/>
      <c r="E60" s="46"/>
      <c r="F60" s="131"/>
      <c r="G60" s="131"/>
      <c r="H60" s="131"/>
      <c r="I60" s="207"/>
      <c r="J60" s="207"/>
    </row>
    <row r="61" spans="1:10" ht="12.75">
      <c r="A61" s="160"/>
      <c r="B61" s="17"/>
      <c r="C61" s="113" t="s">
        <v>532</v>
      </c>
      <c r="D61" s="23" t="e">
        <f>D76+#REF!+#REF!+#REF!+#REF!+#REF!+#REF!+#REF!+#REF!+#REF!+#REF!+#REF!</f>
        <v>#REF!</v>
      </c>
      <c r="E61" s="47" t="e">
        <f>E76+E138+#REF!+E285+#REF!+E454+E762+#REF!+E958+#REF!+#REF!+#REF!+#REF!+#REF!</f>
        <v>#REF!</v>
      </c>
      <c r="F61" s="135">
        <f>+F76+F98+F100+F108+F138+F172+F174+F243+F245+F285+F299+F324+F447+F454+F574+F575+F611+F623+F762+F804+F848+F958+F1004+F1070+F1264+F1278+F1293+F1300+F1333+F1344+F1350+F1360+F1365+F1374+F1385+F1389+F1396+F1402+F1403+F1427+F1428+F857</f>
        <v>48441626.2</v>
      </c>
      <c r="G61" s="135">
        <f>+G76+G98+G100+G108+G138+G172+G174+G243+G245+G285+G299+G324+G447+G454+G574+G575+G611+G623+G762+G804+G848+G958+G1004+G1070+G1264+G1278+G1293+G1300+G1333+G1344+G1350+G1360+G1365+G1374+G1385+G1389+G1396+G1402+G1403+G1427+G1428+G857</f>
        <v>28634036.159999996</v>
      </c>
      <c r="H61" s="135">
        <f>+H76+H98+H100+H108+H138+H172+H174+H243+H245+H285+H299+H324+H447+H454+H574+H575+H611+H623+H762+H804+H848+H958+H1004+H1070+H1264+H1278+H1293+H1300+H1333+H1344+H1350+H1360+H1365+H1374+H1385+H1389+H1396+H1402+H1403+H1427+H1428+H857</f>
        <v>35331331.989999995</v>
      </c>
      <c r="I61" s="210">
        <f>H61/G61</f>
        <v>1.2338928327315488</v>
      </c>
      <c r="J61" s="207">
        <f>H61/$H$59</f>
        <v>0.5274789085630209</v>
      </c>
    </row>
    <row r="62" spans="1:10" ht="12.75">
      <c r="A62" s="162"/>
      <c r="B62" s="18"/>
      <c r="C62" s="114" t="s">
        <v>12</v>
      </c>
      <c r="D62" s="24" t="e">
        <f>D59-D61</f>
        <v>#REF!</v>
      </c>
      <c r="E62" s="48" t="e">
        <f>E59-E61</f>
        <v>#REF!</v>
      </c>
      <c r="F62" s="24">
        <f>F59-F61</f>
        <v>25492056.92</v>
      </c>
      <c r="G62" s="24">
        <f>G59-G61</f>
        <v>25287670.190000013</v>
      </c>
      <c r="H62" s="24">
        <f>H59-H61</f>
        <v>31650174.6</v>
      </c>
      <c r="I62" s="208">
        <f>H62/G62</f>
        <v>1.2516050060047064</v>
      </c>
      <c r="J62" s="208">
        <f>H62/$H$59</f>
        <v>0.472521091436979</v>
      </c>
    </row>
    <row r="63" spans="1:10" s="37" customFormat="1" ht="12.75">
      <c r="A63" s="169"/>
      <c r="C63" s="170"/>
      <c r="D63" s="38"/>
      <c r="E63" s="171"/>
      <c r="F63" s="38"/>
      <c r="G63" s="38"/>
      <c r="H63" s="38"/>
      <c r="I63" s="189"/>
      <c r="J63" s="189"/>
    </row>
    <row r="64" spans="1:10" ht="14.25" customHeight="1">
      <c r="A64" s="163"/>
      <c r="B64" s="55" t="s">
        <v>13</v>
      </c>
      <c r="C64" s="115"/>
      <c r="D64" s="22"/>
      <c r="E64" s="35"/>
      <c r="F64" s="35"/>
      <c r="G64" s="35"/>
      <c r="H64" s="35"/>
      <c r="I64" s="184"/>
      <c r="J64" s="184"/>
    </row>
    <row r="65" spans="1:10" ht="14.25" customHeight="1">
      <c r="A65" s="147"/>
      <c r="B65" s="4" t="s">
        <v>330</v>
      </c>
      <c r="C65" s="107"/>
      <c r="D65" s="30" t="s">
        <v>1</v>
      </c>
      <c r="E65" s="98" t="s">
        <v>158</v>
      </c>
      <c r="F65" s="224" t="s">
        <v>716</v>
      </c>
      <c r="G65" s="223" t="s">
        <v>1</v>
      </c>
      <c r="H65" s="212" t="s">
        <v>538</v>
      </c>
      <c r="I65" s="185" t="s">
        <v>2</v>
      </c>
      <c r="J65" s="186" t="s">
        <v>3</v>
      </c>
    </row>
    <row r="66" spans="1:10" ht="12.75">
      <c r="A66" s="147" t="s">
        <v>4</v>
      </c>
      <c r="B66" s="40" t="s">
        <v>331</v>
      </c>
      <c r="C66" s="107" t="s">
        <v>5</v>
      </c>
      <c r="D66" s="30" t="s">
        <v>6</v>
      </c>
      <c r="E66" s="99" t="s">
        <v>159</v>
      </c>
      <c r="F66" s="131" t="s">
        <v>444</v>
      </c>
      <c r="G66" s="131" t="s">
        <v>536</v>
      </c>
      <c r="H66" s="131" t="s">
        <v>539</v>
      </c>
      <c r="I66" s="185" t="s">
        <v>183</v>
      </c>
      <c r="J66" s="185" t="s">
        <v>540</v>
      </c>
    </row>
    <row r="67" spans="1:10" ht="12.75">
      <c r="A67" s="158"/>
      <c r="B67" s="5" t="s">
        <v>332</v>
      </c>
      <c r="C67" s="108"/>
      <c r="D67" s="31" t="s">
        <v>7</v>
      </c>
      <c r="E67" s="179" t="s">
        <v>160</v>
      </c>
      <c r="F67" s="132"/>
      <c r="G67" s="132" t="s">
        <v>537</v>
      </c>
      <c r="H67" s="132"/>
      <c r="I67" s="187" t="s">
        <v>161</v>
      </c>
      <c r="J67" s="187" t="s">
        <v>541</v>
      </c>
    </row>
    <row r="68" spans="1:10" ht="12.75">
      <c r="A68" s="159">
        <v>1</v>
      </c>
      <c r="B68" s="54">
        <v>2</v>
      </c>
      <c r="C68" s="109">
        <v>3</v>
      </c>
      <c r="D68" s="54"/>
      <c r="E68" s="54">
        <v>4</v>
      </c>
      <c r="F68" s="153">
        <v>4</v>
      </c>
      <c r="G68" s="153">
        <v>5</v>
      </c>
      <c r="H68" s="153">
        <v>6</v>
      </c>
      <c r="I68" s="188">
        <v>7</v>
      </c>
      <c r="J68" s="188">
        <v>8</v>
      </c>
    </row>
    <row r="69" spans="1:10" ht="12.75">
      <c r="A69" s="147">
        <v>1</v>
      </c>
      <c r="B69" s="7" t="s">
        <v>89</v>
      </c>
      <c r="C69" s="78" t="s">
        <v>92</v>
      </c>
      <c r="D69" s="25"/>
      <c r="E69" s="42" t="e">
        <f>E70+E73</f>
        <v>#REF!</v>
      </c>
      <c r="F69" s="25">
        <f>F70+F73</f>
        <v>864200</v>
      </c>
      <c r="G69" s="25">
        <f>G70+G73</f>
        <v>89198.89</v>
      </c>
      <c r="H69" s="25">
        <f>H70+H73</f>
        <v>792120</v>
      </c>
      <c r="I69" s="207">
        <f>H69/G69</f>
        <v>8.880379565261407</v>
      </c>
      <c r="J69" s="207">
        <f>H69/$H$1431</f>
        <v>0.011825950778453519</v>
      </c>
    </row>
    <row r="70" spans="1:10" s="65" customFormat="1" ht="12.75">
      <c r="A70" s="147">
        <f>A69+1</f>
        <v>2</v>
      </c>
      <c r="B70" s="62" t="s">
        <v>162</v>
      </c>
      <c r="C70" s="68" t="s">
        <v>163</v>
      </c>
      <c r="D70" s="63"/>
      <c r="E70" s="64">
        <f>E72</f>
        <v>0</v>
      </c>
      <c r="F70" s="63">
        <f>F72</f>
        <v>200</v>
      </c>
      <c r="G70" s="63">
        <f>G72</f>
        <v>200</v>
      </c>
      <c r="H70" s="63">
        <f>H72</f>
        <v>300</v>
      </c>
      <c r="I70" s="207">
        <f>H70/G70</f>
        <v>1.5</v>
      </c>
      <c r="J70" s="207">
        <f>H70/$H$1431</f>
        <v>4.478848196657142E-06</v>
      </c>
    </row>
    <row r="71" spans="1:10" s="60" customFormat="1" ht="12.75">
      <c r="A71" s="147">
        <f>A70+1</f>
        <v>3</v>
      </c>
      <c r="B71" s="85">
        <v>2850</v>
      </c>
      <c r="C71" s="103" t="s">
        <v>164</v>
      </c>
      <c r="D71" s="84"/>
      <c r="E71" s="82"/>
      <c r="F71" s="136"/>
      <c r="G71" s="136"/>
      <c r="H71" s="136"/>
      <c r="I71" s="207"/>
      <c r="J71" s="207"/>
    </row>
    <row r="72" spans="1:10" s="60" customFormat="1" ht="12.75">
      <c r="A72" s="147">
        <f>A71+1</f>
        <v>4</v>
      </c>
      <c r="B72" s="85"/>
      <c r="C72" s="79" t="s">
        <v>165</v>
      </c>
      <c r="D72" s="84"/>
      <c r="E72" s="82">
        <v>0</v>
      </c>
      <c r="F72" s="136">
        <v>200</v>
      </c>
      <c r="G72" s="136">
        <v>200</v>
      </c>
      <c r="H72" s="136">
        <v>300</v>
      </c>
      <c r="I72" s="207">
        <f>H72/G72</f>
        <v>1.5</v>
      </c>
      <c r="J72" s="207">
        <f>H72/$H$1431</f>
        <v>4.478848196657142E-06</v>
      </c>
    </row>
    <row r="73" spans="1:10" ht="12.75">
      <c r="A73" s="147">
        <f>A72+1</f>
        <v>5</v>
      </c>
      <c r="B73" s="167" t="s">
        <v>90</v>
      </c>
      <c r="C73" s="68" t="s">
        <v>14</v>
      </c>
      <c r="D73" s="25"/>
      <c r="E73" s="44" t="e">
        <f>SUM(E76:E76)</f>
        <v>#REF!</v>
      </c>
      <c r="F73" s="26">
        <f>+F75+F76</f>
        <v>864000</v>
      </c>
      <c r="G73" s="26">
        <f>+G75+G76</f>
        <v>88998.89</v>
      </c>
      <c r="H73" s="26">
        <f>+H75+H76</f>
        <v>791820</v>
      </c>
      <c r="I73" s="207">
        <f>H73/G73</f>
        <v>8.89696489473071</v>
      </c>
      <c r="J73" s="207">
        <f>H73/$H$1431</f>
        <v>0.011821471930256861</v>
      </c>
    </row>
    <row r="74" spans="1:10" s="190" customFormat="1" ht="12.75">
      <c r="A74" s="147">
        <f aca="true" t="shared" si="0" ref="A74:A97">A73+1</f>
        <v>6</v>
      </c>
      <c r="B74" s="201">
        <v>4300</v>
      </c>
      <c r="C74" s="40" t="s">
        <v>594</v>
      </c>
      <c r="D74" s="137"/>
      <c r="E74" s="129"/>
      <c r="F74" s="137"/>
      <c r="G74" s="137"/>
      <c r="H74" s="137"/>
      <c r="I74" s="207"/>
      <c r="J74" s="207"/>
    </row>
    <row r="75" spans="1:10" s="190" customFormat="1" ht="12.75">
      <c r="A75" s="147">
        <f t="shared" si="0"/>
        <v>7</v>
      </c>
      <c r="B75" s="175"/>
      <c r="C75" s="40" t="s">
        <v>718</v>
      </c>
      <c r="D75" s="137"/>
      <c r="E75" s="129"/>
      <c r="F75" s="137">
        <v>0</v>
      </c>
      <c r="G75" s="137">
        <v>0</v>
      </c>
      <c r="H75" s="137">
        <v>15000</v>
      </c>
      <c r="I75" s="207"/>
      <c r="J75" s="207">
        <f>H75/$H$1431</f>
        <v>0.0002239424098328571</v>
      </c>
    </row>
    <row r="76" spans="1:10" ht="12.75">
      <c r="A76" s="147">
        <f t="shared" si="0"/>
        <v>8</v>
      </c>
      <c r="B76" s="4">
        <v>6050</v>
      </c>
      <c r="C76" s="79" t="s">
        <v>129</v>
      </c>
      <c r="D76" s="25"/>
      <c r="E76" s="47" t="e">
        <f>SUM(#REF!)</f>
        <v>#REF!</v>
      </c>
      <c r="F76" s="23">
        <f>SUM(F78:F90)</f>
        <v>864000</v>
      </c>
      <c r="G76" s="23">
        <f>SUM(G78:G90)</f>
        <v>88998.89</v>
      </c>
      <c r="H76" s="23">
        <f>SUM(H78:H90)</f>
        <v>776820</v>
      </c>
      <c r="I76" s="207">
        <f>H76/G76</f>
        <v>8.728423466854474</v>
      </c>
      <c r="J76" s="207">
        <f>H76/$H$1431</f>
        <v>0.011597529520424005</v>
      </c>
    </row>
    <row r="77" spans="1:10" ht="12.75">
      <c r="A77" s="147">
        <f t="shared" si="0"/>
        <v>9</v>
      </c>
      <c r="B77" s="4"/>
      <c r="C77" s="79" t="s">
        <v>15</v>
      </c>
      <c r="D77" s="25"/>
      <c r="E77" s="46"/>
      <c r="F77" s="131"/>
      <c r="G77" s="131"/>
      <c r="H77" s="131"/>
      <c r="I77" s="207"/>
      <c r="J77" s="207"/>
    </row>
    <row r="78" spans="1:10" ht="12.75">
      <c r="A78" s="147">
        <f t="shared" si="0"/>
        <v>10</v>
      </c>
      <c r="B78" s="4"/>
      <c r="C78" s="103" t="s">
        <v>395</v>
      </c>
      <c r="D78" s="25"/>
      <c r="E78" s="46"/>
      <c r="F78" s="131"/>
      <c r="G78" s="131"/>
      <c r="H78" s="131"/>
      <c r="I78" s="207"/>
      <c r="J78" s="207"/>
    </row>
    <row r="79" spans="1:10" ht="12.75">
      <c r="A79" s="147">
        <f t="shared" si="0"/>
        <v>11</v>
      </c>
      <c r="B79" s="4"/>
      <c r="C79" s="103" t="s">
        <v>396</v>
      </c>
      <c r="D79" s="25"/>
      <c r="E79" s="46"/>
      <c r="F79" s="131">
        <v>2000</v>
      </c>
      <c r="G79" s="131">
        <v>998.89</v>
      </c>
      <c r="H79" s="131">
        <v>0</v>
      </c>
      <c r="I79" s="207">
        <f>H79/G79</f>
        <v>0</v>
      </c>
      <c r="J79" s="207">
        <f>H79/$H$1431</f>
        <v>0</v>
      </c>
    </row>
    <row r="80" spans="1:10" ht="12.75">
      <c r="A80" s="147">
        <f t="shared" si="0"/>
        <v>12</v>
      </c>
      <c r="B80" s="4"/>
      <c r="C80" s="103" t="s">
        <v>397</v>
      </c>
      <c r="D80" s="25"/>
      <c r="E80" s="46"/>
      <c r="F80" s="131"/>
      <c r="G80" s="131"/>
      <c r="H80" s="131"/>
      <c r="I80" s="207"/>
      <c r="J80" s="207"/>
    </row>
    <row r="81" spans="1:10" ht="12.75">
      <c r="A81" s="147">
        <f t="shared" si="0"/>
        <v>13</v>
      </c>
      <c r="B81" s="4"/>
      <c r="C81" s="103" t="s">
        <v>398</v>
      </c>
      <c r="D81" s="25"/>
      <c r="E81" s="46"/>
      <c r="F81" s="131"/>
      <c r="G81" s="131"/>
      <c r="H81" s="131"/>
      <c r="I81" s="207"/>
      <c r="J81" s="207"/>
    </row>
    <row r="82" spans="1:10" ht="12.75">
      <c r="A82" s="147">
        <f t="shared" si="0"/>
        <v>14</v>
      </c>
      <c r="B82" s="4"/>
      <c r="C82" s="103" t="s">
        <v>399</v>
      </c>
      <c r="D82" s="25"/>
      <c r="E82" s="46"/>
      <c r="F82" s="131">
        <v>12000</v>
      </c>
      <c r="G82" s="131">
        <v>8000</v>
      </c>
      <c r="H82" s="131">
        <v>0</v>
      </c>
      <c r="I82" s="207">
        <f>H82/G82</f>
        <v>0</v>
      </c>
      <c r="J82" s="207">
        <f>H82/$H$1431</f>
        <v>0</v>
      </c>
    </row>
    <row r="83" spans="1:10" ht="12.75">
      <c r="A83" s="147">
        <f t="shared" si="0"/>
        <v>15</v>
      </c>
      <c r="B83" s="4"/>
      <c r="C83" s="103" t="s">
        <v>446</v>
      </c>
      <c r="D83" s="25"/>
      <c r="E83" s="46"/>
      <c r="F83" s="131"/>
      <c r="G83" s="131"/>
      <c r="H83" s="131"/>
      <c r="I83" s="207"/>
      <c r="J83" s="207"/>
    </row>
    <row r="84" spans="1:10" ht="12.75">
      <c r="A84" s="147">
        <f t="shared" si="0"/>
        <v>16</v>
      </c>
      <c r="B84" s="4"/>
      <c r="C84" s="103" t="s">
        <v>470</v>
      </c>
      <c r="D84" s="25"/>
      <c r="E84" s="46"/>
      <c r="F84" s="131">
        <v>770000</v>
      </c>
      <c r="G84" s="131">
        <v>0</v>
      </c>
      <c r="H84" s="131">
        <v>769820</v>
      </c>
      <c r="I84" s="207"/>
      <c r="J84" s="207">
        <f>H84/$H$1431</f>
        <v>0.011493023062502003</v>
      </c>
    </row>
    <row r="85" spans="1:10" ht="12.75">
      <c r="A85" s="147">
        <f t="shared" si="0"/>
        <v>17</v>
      </c>
      <c r="B85" s="4"/>
      <c r="C85" s="103" t="s">
        <v>546</v>
      </c>
      <c r="D85" s="25"/>
      <c r="E85" s="46"/>
      <c r="F85" s="131">
        <v>80000</v>
      </c>
      <c r="G85" s="131">
        <v>80000</v>
      </c>
      <c r="H85" s="131">
        <v>0</v>
      </c>
      <c r="I85" s="207">
        <f>H85/G85</f>
        <v>0</v>
      </c>
      <c r="J85" s="207">
        <f>H85/$H$1431</f>
        <v>0</v>
      </c>
    </row>
    <row r="86" spans="1:10" ht="12.75">
      <c r="A86" s="147">
        <f t="shared" si="0"/>
        <v>18</v>
      </c>
      <c r="B86" s="4"/>
      <c r="C86" s="103" t="s">
        <v>581</v>
      </c>
      <c r="D86" s="25"/>
      <c r="E86" s="46"/>
      <c r="F86" s="131"/>
      <c r="G86" s="131"/>
      <c r="H86" s="131"/>
      <c r="I86" s="207"/>
      <c r="J86" s="207"/>
    </row>
    <row r="87" spans="1:10" ht="12.75">
      <c r="A87" s="147">
        <f t="shared" si="0"/>
        <v>19</v>
      </c>
      <c r="B87" s="4"/>
      <c r="C87" s="103" t="s">
        <v>582</v>
      </c>
      <c r="D87" s="25"/>
      <c r="E87" s="46"/>
      <c r="F87" s="131"/>
      <c r="G87" s="131"/>
      <c r="H87" s="131"/>
      <c r="I87" s="207"/>
      <c r="J87" s="207"/>
    </row>
    <row r="88" spans="1:10" ht="12.75">
      <c r="A88" s="147">
        <f t="shared" si="0"/>
        <v>20</v>
      </c>
      <c r="B88" s="4"/>
      <c r="C88" s="103" t="s">
        <v>701</v>
      </c>
      <c r="D88" s="25"/>
      <c r="E88" s="46"/>
      <c r="F88" s="131"/>
      <c r="G88" s="131"/>
      <c r="H88" s="131"/>
      <c r="I88" s="207"/>
      <c r="J88" s="207"/>
    </row>
    <row r="89" spans="1:10" ht="12.75">
      <c r="A89" s="147">
        <f t="shared" si="0"/>
        <v>21</v>
      </c>
      <c r="B89" s="4"/>
      <c r="C89" s="103" t="s">
        <v>583</v>
      </c>
      <c r="D89" s="25"/>
      <c r="E89" s="46"/>
      <c r="F89" s="131"/>
      <c r="G89" s="131"/>
      <c r="H89" s="131"/>
      <c r="I89" s="207"/>
      <c r="J89" s="207"/>
    </row>
    <row r="90" spans="1:10" ht="12.75">
      <c r="A90" s="147">
        <f t="shared" si="0"/>
        <v>22</v>
      </c>
      <c r="B90" s="4"/>
      <c r="C90" s="103" t="s">
        <v>719</v>
      </c>
      <c r="D90" s="25"/>
      <c r="E90" s="46"/>
      <c r="F90" s="131">
        <v>0</v>
      </c>
      <c r="G90" s="131">
        <v>0</v>
      </c>
      <c r="H90" s="131">
        <v>7000</v>
      </c>
      <c r="I90" s="207"/>
      <c r="J90" s="207">
        <f>H90/$H$1431</f>
        <v>0.00010450645792199998</v>
      </c>
    </row>
    <row r="91" spans="1:10" s="200" customFormat="1" ht="12.75">
      <c r="A91" s="147">
        <f t="shared" si="0"/>
        <v>23</v>
      </c>
      <c r="B91" s="196">
        <v>400</v>
      </c>
      <c r="C91" s="196" t="s">
        <v>447</v>
      </c>
      <c r="D91" s="197"/>
      <c r="E91" s="198"/>
      <c r="F91" s="199"/>
      <c r="G91" s="199"/>
      <c r="H91" s="199"/>
      <c r="I91" s="207"/>
      <c r="J91" s="207"/>
    </row>
    <row r="92" spans="1:10" s="195" customFormat="1" ht="12.75">
      <c r="A92" s="147">
        <f t="shared" si="0"/>
        <v>24</v>
      </c>
      <c r="B92" s="192"/>
      <c r="C92" s="192" t="s">
        <v>448</v>
      </c>
      <c r="D92" s="172"/>
      <c r="E92" s="193"/>
      <c r="F92" s="194">
        <f>F93</f>
        <v>510000</v>
      </c>
      <c r="G92" s="194">
        <f>G93</f>
        <v>509997.08</v>
      </c>
      <c r="H92" s="194">
        <f>H93</f>
        <v>0</v>
      </c>
      <c r="I92" s="207">
        <f>H92/G92</f>
        <v>0</v>
      </c>
      <c r="J92" s="207">
        <f>H92/$H$1431</f>
        <v>0</v>
      </c>
    </row>
    <row r="93" spans="1:10" s="166" customFormat="1" ht="12.75">
      <c r="A93" s="147">
        <f t="shared" si="0"/>
        <v>25</v>
      </c>
      <c r="B93" s="180">
        <v>40002</v>
      </c>
      <c r="C93" s="180" t="s">
        <v>449</v>
      </c>
      <c r="D93" s="146"/>
      <c r="E93" s="150"/>
      <c r="F93" s="151">
        <f>F98+F100</f>
        <v>510000</v>
      </c>
      <c r="G93" s="151">
        <f>G98+G100</f>
        <v>509997.08</v>
      </c>
      <c r="H93" s="151">
        <f>H98+H100</f>
        <v>0</v>
      </c>
      <c r="I93" s="207">
        <f>H93/G93</f>
        <v>0</v>
      </c>
      <c r="J93" s="207">
        <f>H93/$H$1431</f>
        <v>0</v>
      </c>
    </row>
    <row r="94" spans="1:10" ht="12.75">
      <c r="A94" s="147">
        <f t="shared" si="0"/>
        <v>26</v>
      </c>
      <c r="B94" s="4">
        <v>6010</v>
      </c>
      <c r="C94" s="103" t="s">
        <v>450</v>
      </c>
      <c r="D94" s="25"/>
      <c r="E94" s="46"/>
      <c r="F94" s="131"/>
      <c r="G94" s="131"/>
      <c r="H94" s="131"/>
      <c r="I94" s="207"/>
      <c r="J94" s="207"/>
    </row>
    <row r="95" spans="1:10" ht="12.75">
      <c r="A95" s="147">
        <f t="shared" si="0"/>
        <v>27</v>
      </c>
      <c r="B95" s="4"/>
      <c r="C95" s="103" t="s">
        <v>451</v>
      </c>
      <c r="D95" s="25"/>
      <c r="E95" s="46"/>
      <c r="F95" s="131"/>
      <c r="G95" s="131"/>
      <c r="H95" s="131"/>
      <c r="I95" s="207"/>
      <c r="J95" s="207"/>
    </row>
    <row r="96" spans="1:10" ht="12.75">
      <c r="A96" s="147">
        <f t="shared" si="0"/>
        <v>28</v>
      </c>
      <c r="B96" s="4"/>
      <c r="C96" s="103" t="s">
        <v>452</v>
      </c>
      <c r="D96" s="25"/>
      <c r="E96" s="46"/>
      <c r="F96" s="131"/>
      <c r="G96" s="131"/>
      <c r="H96" s="131"/>
      <c r="I96" s="207"/>
      <c r="J96" s="207"/>
    </row>
    <row r="97" spans="1:10" ht="12.75">
      <c r="A97" s="147">
        <f t="shared" si="0"/>
        <v>29</v>
      </c>
      <c r="B97" s="4"/>
      <c r="C97" s="103" t="s">
        <v>453</v>
      </c>
      <c r="D97" s="25"/>
      <c r="E97" s="46"/>
      <c r="F97" s="131"/>
      <c r="G97" s="131"/>
      <c r="H97" s="131"/>
      <c r="I97" s="207"/>
      <c r="J97" s="207"/>
    </row>
    <row r="98" spans="1:10" ht="12.75">
      <c r="A98" s="147">
        <f aca="true" t="shared" si="1" ref="A98:A142">A97+1</f>
        <v>30</v>
      </c>
      <c r="B98" s="4"/>
      <c r="C98" s="103" t="s">
        <v>454</v>
      </c>
      <c r="D98" s="25"/>
      <c r="E98" s="46"/>
      <c r="F98" s="131">
        <v>500000</v>
      </c>
      <c r="G98" s="131">
        <v>500000</v>
      </c>
      <c r="H98" s="131">
        <v>0</v>
      </c>
      <c r="I98" s="207">
        <f>H98/G98</f>
        <v>0</v>
      </c>
      <c r="J98" s="207">
        <f>H98/$H$1431</f>
        <v>0</v>
      </c>
    </row>
    <row r="99" spans="1:10" ht="12.75">
      <c r="A99" s="147">
        <f t="shared" si="1"/>
        <v>31</v>
      </c>
      <c r="B99" s="4">
        <v>6060</v>
      </c>
      <c r="C99" s="103" t="s">
        <v>455</v>
      </c>
      <c r="D99" s="25"/>
      <c r="E99" s="46"/>
      <c r="F99" s="131"/>
      <c r="G99" s="131"/>
      <c r="H99" s="131"/>
      <c r="I99" s="207"/>
      <c r="J99" s="207"/>
    </row>
    <row r="100" spans="1:10" ht="12.75">
      <c r="A100" s="147">
        <f t="shared" si="1"/>
        <v>32</v>
      </c>
      <c r="B100" s="4"/>
      <c r="C100" s="103" t="s">
        <v>456</v>
      </c>
      <c r="D100" s="25"/>
      <c r="E100" s="46"/>
      <c r="F100" s="131">
        <v>10000</v>
      </c>
      <c r="G100" s="131">
        <v>9997.08</v>
      </c>
      <c r="H100" s="131">
        <v>0</v>
      </c>
      <c r="I100" s="207">
        <f>H100/G100</f>
        <v>0</v>
      </c>
      <c r="J100" s="207">
        <f>H100/$H$1431</f>
        <v>0</v>
      </c>
    </row>
    <row r="101" spans="1:10" ht="12.75">
      <c r="A101" s="147">
        <f t="shared" si="1"/>
        <v>33</v>
      </c>
      <c r="B101" s="4"/>
      <c r="C101" s="103"/>
      <c r="D101" s="25"/>
      <c r="E101" s="46"/>
      <c r="F101" s="131"/>
      <c r="G101" s="131"/>
      <c r="H101" s="131"/>
      <c r="I101" s="207"/>
      <c r="J101" s="207"/>
    </row>
    <row r="102" spans="1:10" ht="15">
      <c r="A102" s="147">
        <f t="shared" si="1"/>
        <v>34</v>
      </c>
      <c r="B102" s="9">
        <v>600</v>
      </c>
      <c r="C102" s="78" t="s">
        <v>91</v>
      </c>
      <c r="D102" s="25"/>
      <c r="E102" s="42" t="e">
        <f>E103+E109</f>
        <v>#REF!</v>
      </c>
      <c r="F102" s="25">
        <f>F103+F109+F168</f>
        <v>15729510.2</v>
      </c>
      <c r="G102" s="25">
        <f>G103+G109+G168</f>
        <v>2531017.19</v>
      </c>
      <c r="H102" s="25">
        <f>H103+H109+H168</f>
        <v>15485962.95</v>
      </c>
      <c r="I102" s="207">
        <f>H102/G102</f>
        <v>6.118474031383406</v>
      </c>
      <c r="J102" s="207">
        <f>H102/$H$1431</f>
        <v>0.23119759077368937</v>
      </c>
    </row>
    <row r="103" spans="1:10" s="65" customFormat="1" ht="12.75">
      <c r="A103" s="147">
        <f t="shared" si="1"/>
        <v>35</v>
      </c>
      <c r="B103" s="62">
        <v>60014</v>
      </c>
      <c r="C103" s="68" t="s">
        <v>93</v>
      </c>
      <c r="D103" s="63"/>
      <c r="E103" s="64" t="e">
        <f>#REF!</f>
        <v>#REF!</v>
      </c>
      <c r="F103" s="63">
        <f>SUM(F104:F108)</f>
        <v>1200000</v>
      </c>
      <c r="G103" s="63">
        <f>SUM(G104:G108)</f>
        <v>1160000</v>
      </c>
      <c r="H103" s="63">
        <f>SUM(H104:H108)</f>
        <v>0</v>
      </c>
      <c r="I103" s="207">
        <f>H103/G103</f>
        <v>0</v>
      </c>
      <c r="J103" s="207">
        <f>H103/$H$1431</f>
        <v>0</v>
      </c>
    </row>
    <row r="104" spans="1:10" s="60" customFormat="1" ht="12.75">
      <c r="A104" s="147">
        <f t="shared" si="1"/>
        <v>36</v>
      </c>
      <c r="B104" s="85">
        <v>6620</v>
      </c>
      <c r="C104" s="79" t="s">
        <v>219</v>
      </c>
      <c r="D104" s="84"/>
      <c r="E104" s="82"/>
      <c r="F104" s="136"/>
      <c r="G104" s="136"/>
      <c r="H104" s="136"/>
      <c r="I104" s="207"/>
      <c r="J104" s="207"/>
    </row>
    <row r="105" spans="1:10" s="60" customFormat="1" ht="12.75">
      <c r="A105" s="147">
        <f t="shared" si="1"/>
        <v>37</v>
      </c>
      <c r="B105" s="85"/>
      <c r="C105" s="79" t="s">
        <v>239</v>
      </c>
      <c r="D105" s="84"/>
      <c r="E105" s="82"/>
      <c r="F105" s="136"/>
      <c r="G105" s="136"/>
      <c r="H105" s="136"/>
      <c r="I105" s="207"/>
      <c r="J105" s="207"/>
    </row>
    <row r="106" spans="1:10" s="60" customFormat="1" ht="12.75">
      <c r="A106" s="147">
        <f t="shared" si="1"/>
        <v>38</v>
      </c>
      <c r="B106" s="85"/>
      <c r="C106" s="79" t="s">
        <v>238</v>
      </c>
      <c r="D106" s="84"/>
      <c r="E106" s="82"/>
      <c r="F106" s="136"/>
      <c r="G106" s="136"/>
      <c r="H106" s="136"/>
      <c r="I106" s="207"/>
      <c r="J106" s="207"/>
    </row>
    <row r="107" spans="1:10" s="60" customFormat="1" ht="12.75">
      <c r="A107" s="147">
        <f t="shared" si="1"/>
        <v>39</v>
      </c>
      <c r="B107" s="85"/>
      <c r="C107" s="79" t="s">
        <v>457</v>
      </c>
      <c r="D107" s="84"/>
      <c r="E107" s="82"/>
      <c r="F107" s="136"/>
      <c r="G107" s="136"/>
      <c r="H107" s="136"/>
      <c r="I107" s="207"/>
      <c r="J107" s="207"/>
    </row>
    <row r="108" spans="1:10" s="60" customFormat="1" ht="12.75">
      <c r="A108" s="147">
        <f t="shared" si="1"/>
        <v>40</v>
      </c>
      <c r="B108" s="85"/>
      <c r="C108" s="79" t="s">
        <v>458</v>
      </c>
      <c r="D108" s="84"/>
      <c r="E108" s="82"/>
      <c r="F108" s="136">
        <v>1200000</v>
      </c>
      <c r="G108" s="136">
        <v>1160000</v>
      </c>
      <c r="H108" s="136">
        <v>0</v>
      </c>
      <c r="I108" s="207">
        <f>H108/G108</f>
        <v>0</v>
      </c>
      <c r="J108" s="207">
        <f>H108/$H$1431</f>
        <v>0</v>
      </c>
    </row>
    <row r="109" spans="1:10" ht="12.75">
      <c r="A109" s="147">
        <f t="shared" si="1"/>
        <v>41</v>
      </c>
      <c r="B109" s="10">
        <v>60016</v>
      </c>
      <c r="C109" s="68" t="s">
        <v>16</v>
      </c>
      <c r="D109" s="25"/>
      <c r="E109" s="44" t="e">
        <f>#REF!+E123+E138</f>
        <v>#REF!</v>
      </c>
      <c r="F109" s="26">
        <f>+F110+F111+F123+F134+F138</f>
        <v>14367930.2</v>
      </c>
      <c r="G109" s="26">
        <f>+G110+G111+G123+G134+G138</f>
        <v>1209437.19</v>
      </c>
      <c r="H109" s="26">
        <f>+H110+H111+H123+H134+H138</f>
        <v>15142731.95</v>
      </c>
      <c r="I109" s="207">
        <f>H109/G109</f>
        <v>12.520478182087322</v>
      </c>
      <c r="J109" s="207">
        <f>H109/$H$1431</f>
        <v>0.22607332562239996</v>
      </c>
    </row>
    <row r="110" spans="1:10" s="60" customFormat="1" ht="12.75">
      <c r="A110" s="147">
        <f t="shared" si="1"/>
        <v>42</v>
      </c>
      <c r="B110" s="85">
        <v>4210</v>
      </c>
      <c r="C110" s="79" t="s">
        <v>132</v>
      </c>
      <c r="D110" s="84"/>
      <c r="E110" s="82"/>
      <c r="F110" s="136">
        <v>10000</v>
      </c>
      <c r="G110" s="136">
        <v>10000</v>
      </c>
      <c r="H110" s="136">
        <v>0</v>
      </c>
      <c r="I110" s="207">
        <f>H110/G110</f>
        <v>0</v>
      </c>
      <c r="J110" s="207">
        <f>H110/$H$1431</f>
        <v>0</v>
      </c>
    </row>
    <row r="111" spans="1:10" s="60" customFormat="1" ht="12.75">
      <c r="A111" s="147">
        <f t="shared" si="1"/>
        <v>43</v>
      </c>
      <c r="B111" s="85">
        <v>4270</v>
      </c>
      <c r="C111" s="79" t="s">
        <v>459</v>
      </c>
      <c r="D111" s="84"/>
      <c r="E111" s="82"/>
      <c r="F111" s="136">
        <f>SUM(F113:F122)</f>
        <v>164340</v>
      </c>
      <c r="G111" s="136">
        <f>SUM(G113:G122)</f>
        <v>164340</v>
      </c>
      <c r="H111" s="136">
        <f>SUM(H113:H122)</f>
        <v>590000</v>
      </c>
      <c r="I111" s="207">
        <f>H111/G111</f>
        <v>3.5901180479493733</v>
      </c>
      <c r="J111" s="207">
        <f>H111/$H$1431</f>
        <v>0.008808401453425712</v>
      </c>
    </row>
    <row r="112" spans="1:10" s="60" customFormat="1" ht="12.75">
      <c r="A112" s="147">
        <f t="shared" si="1"/>
        <v>44</v>
      </c>
      <c r="B112" s="85"/>
      <c r="C112" s="79" t="s">
        <v>15</v>
      </c>
      <c r="D112" s="84"/>
      <c r="E112" s="82"/>
      <c r="F112" s="136"/>
      <c r="G112" s="136"/>
      <c r="H112" s="136"/>
      <c r="I112" s="207"/>
      <c r="J112" s="207"/>
    </row>
    <row r="113" spans="1:10" s="60" customFormat="1" ht="12.75">
      <c r="A113" s="147">
        <f t="shared" si="1"/>
        <v>45</v>
      </c>
      <c r="B113" s="85"/>
      <c r="C113" s="103" t="s">
        <v>702</v>
      </c>
      <c r="D113" s="84"/>
      <c r="E113" s="82"/>
      <c r="F113" s="136">
        <v>164340</v>
      </c>
      <c r="G113" s="136">
        <v>164340</v>
      </c>
      <c r="H113" s="136">
        <v>0</v>
      </c>
      <c r="I113" s="207">
        <f>H113/G113</f>
        <v>0</v>
      </c>
      <c r="J113" s="207">
        <f>H113/$H$1431</f>
        <v>0</v>
      </c>
    </row>
    <row r="114" spans="1:10" s="60" customFormat="1" ht="12.75">
      <c r="A114" s="147">
        <f t="shared" si="1"/>
        <v>46</v>
      </c>
      <c r="B114" s="85"/>
      <c r="C114" s="79" t="s">
        <v>597</v>
      </c>
      <c r="D114" s="84"/>
      <c r="E114" s="82"/>
      <c r="F114" s="136">
        <v>0</v>
      </c>
      <c r="G114" s="136">
        <v>0</v>
      </c>
      <c r="H114" s="136">
        <v>55000</v>
      </c>
      <c r="I114" s="207"/>
      <c r="J114" s="207">
        <f aca="true" t="shared" si="2" ref="J114:J122">H114/$H$1431</f>
        <v>0.0008211221693871427</v>
      </c>
    </row>
    <row r="115" spans="1:10" s="60" customFormat="1" ht="12.75">
      <c r="A115" s="147">
        <f t="shared" si="1"/>
        <v>47</v>
      </c>
      <c r="B115" s="85"/>
      <c r="C115" s="79" t="s">
        <v>703</v>
      </c>
      <c r="D115" s="84"/>
      <c r="E115" s="82"/>
      <c r="F115" s="136"/>
      <c r="G115" s="136"/>
      <c r="H115" s="136"/>
      <c r="I115" s="207"/>
      <c r="J115" s="207">
        <f t="shared" si="2"/>
        <v>0</v>
      </c>
    </row>
    <row r="116" spans="1:10" s="60" customFormat="1" ht="12.75">
      <c r="A116" s="147">
        <f t="shared" si="1"/>
        <v>48</v>
      </c>
      <c r="B116" s="85"/>
      <c r="C116" s="79" t="s">
        <v>598</v>
      </c>
      <c r="D116" s="84"/>
      <c r="E116" s="82"/>
      <c r="F116" s="136">
        <v>0</v>
      </c>
      <c r="G116" s="136">
        <v>0</v>
      </c>
      <c r="H116" s="136">
        <v>25000</v>
      </c>
      <c r="I116" s="207"/>
      <c r="J116" s="207">
        <f t="shared" si="2"/>
        <v>0.0003732373497214285</v>
      </c>
    </row>
    <row r="117" spans="1:10" s="60" customFormat="1" ht="12.75">
      <c r="A117" s="147">
        <f t="shared" si="1"/>
        <v>49</v>
      </c>
      <c r="B117" s="85"/>
      <c r="C117" s="79" t="s">
        <v>599</v>
      </c>
      <c r="D117" s="84"/>
      <c r="E117" s="82"/>
      <c r="F117" s="136">
        <v>0</v>
      </c>
      <c r="G117" s="136">
        <v>0</v>
      </c>
      <c r="H117" s="136">
        <v>164000</v>
      </c>
      <c r="I117" s="207"/>
      <c r="J117" s="207">
        <f t="shared" si="2"/>
        <v>0.002448437014172571</v>
      </c>
    </row>
    <row r="118" spans="1:10" s="60" customFormat="1" ht="12.75">
      <c r="A118" s="147">
        <f t="shared" si="1"/>
        <v>50</v>
      </c>
      <c r="B118" s="85"/>
      <c r="C118" s="79" t="s">
        <v>600</v>
      </c>
      <c r="D118" s="84"/>
      <c r="E118" s="82"/>
      <c r="F118" s="136">
        <v>0</v>
      </c>
      <c r="G118" s="136">
        <v>0</v>
      </c>
      <c r="H118" s="136">
        <v>21000</v>
      </c>
      <c r="I118" s="207"/>
      <c r="J118" s="207">
        <f t="shared" si="2"/>
        <v>0.0003135193737659999</v>
      </c>
    </row>
    <row r="119" spans="1:10" s="60" customFormat="1" ht="12.75">
      <c r="A119" s="147">
        <f t="shared" si="1"/>
        <v>51</v>
      </c>
      <c r="B119" s="85"/>
      <c r="C119" s="79" t="s">
        <v>601</v>
      </c>
      <c r="D119" s="84"/>
      <c r="E119" s="82"/>
      <c r="F119" s="136">
        <v>0</v>
      </c>
      <c r="G119" s="136">
        <v>0</v>
      </c>
      <c r="H119" s="136">
        <v>50000</v>
      </c>
      <c r="I119" s="207"/>
      <c r="J119" s="207">
        <f t="shared" si="2"/>
        <v>0.000746474699442857</v>
      </c>
    </row>
    <row r="120" spans="1:10" s="60" customFormat="1" ht="12.75">
      <c r="A120" s="147">
        <f t="shared" si="1"/>
        <v>52</v>
      </c>
      <c r="B120" s="85"/>
      <c r="C120" s="79" t="s">
        <v>602</v>
      </c>
      <c r="D120" s="84"/>
      <c r="E120" s="82"/>
      <c r="F120" s="136">
        <v>0</v>
      </c>
      <c r="G120" s="136">
        <v>0</v>
      </c>
      <c r="H120" s="136">
        <v>50000</v>
      </c>
      <c r="I120" s="207"/>
      <c r="J120" s="207">
        <f t="shared" si="2"/>
        <v>0.000746474699442857</v>
      </c>
    </row>
    <row r="121" spans="1:10" s="60" customFormat="1" ht="12.75">
      <c r="A121" s="147">
        <f t="shared" si="1"/>
        <v>53</v>
      </c>
      <c r="B121" s="85"/>
      <c r="C121" s="79" t="s">
        <v>603</v>
      </c>
      <c r="D121" s="84"/>
      <c r="E121" s="82"/>
      <c r="F121" s="136">
        <v>0</v>
      </c>
      <c r="G121" s="136">
        <v>0</v>
      </c>
      <c r="H121" s="136">
        <v>140000</v>
      </c>
      <c r="I121" s="207"/>
      <c r="J121" s="207">
        <f t="shared" si="2"/>
        <v>0.00209012915844</v>
      </c>
    </row>
    <row r="122" spans="1:10" s="60" customFormat="1" ht="12.75">
      <c r="A122" s="147">
        <f t="shared" si="1"/>
        <v>54</v>
      </c>
      <c r="B122" s="85"/>
      <c r="C122" s="79" t="s">
        <v>604</v>
      </c>
      <c r="D122" s="84"/>
      <c r="E122" s="82"/>
      <c r="F122" s="136">
        <v>0</v>
      </c>
      <c r="G122" s="136">
        <v>0</v>
      </c>
      <c r="H122" s="136">
        <v>85000</v>
      </c>
      <c r="I122" s="207"/>
      <c r="J122" s="207">
        <f t="shared" si="2"/>
        <v>0.001269006989052857</v>
      </c>
    </row>
    <row r="123" spans="1:10" s="32" customFormat="1" ht="12.75">
      <c r="A123" s="147">
        <f>A122+1</f>
        <v>55</v>
      </c>
      <c r="B123" s="14">
        <v>4300</v>
      </c>
      <c r="C123" s="116" t="s">
        <v>130</v>
      </c>
      <c r="D123" s="25"/>
      <c r="E123" s="49">
        <f>SUM(E125:E130)</f>
        <v>260000</v>
      </c>
      <c r="F123" s="181">
        <f>SUM(F125:F133)</f>
        <v>255790</v>
      </c>
      <c r="G123" s="181">
        <f>SUM(G125:G133)</f>
        <v>255790</v>
      </c>
      <c r="H123" s="181">
        <f>SUM(H125:H133)</f>
        <v>45000</v>
      </c>
      <c r="I123" s="207">
        <f>H123/G123</f>
        <v>0.17592556393916886</v>
      </c>
      <c r="J123" s="207">
        <f>H123/$H$1431</f>
        <v>0.0006718272294985714</v>
      </c>
    </row>
    <row r="124" spans="1:10" s="32" customFormat="1" ht="12.75">
      <c r="A124" s="147">
        <f t="shared" si="1"/>
        <v>56</v>
      </c>
      <c r="B124" s="14"/>
      <c r="C124" s="116" t="s">
        <v>15</v>
      </c>
      <c r="D124" s="25"/>
      <c r="E124" s="46"/>
      <c r="F124" s="131"/>
      <c r="G124" s="131"/>
      <c r="H124" s="131"/>
      <c r="I124" s="207"/>
      <c r="J124" s="207"/>
    </row>
    <row r="125" spans="1:10" s="32" customFormat="1" ht="12.75">
      <c r="A125" s="147">
        <f t="shared" si="1"/>
        <v>57</v>
      </c>
      <c r="B125" s="14"/>
      <c r="C125" s="116" t="s">
        <v>17</v>
      </c>
      <c r="D125" s="25"/>
      <c r="E125" s="46">
        <v>17000</v>
      </c>
      <c r="F125" s="131">
        <v>20000</v>
      </c>
      <c r="G125" s="131">
        <v>20000</v>
      </c>
      <c r="H125" s="131">
        <v>20000</v>
      </c>
      <c r="I125" s="207">
        <f>H125/G125</f>
        <v>1</v>
      </c>
      <c r="J125" s="207">
        <f>H125/$H$1431</f>
        <v>0.00029858987977714283</v>
      </c>
    </row>
    <row r="126" spans="1:10" s="32" customFormat="1" ht="12.75">
      <c r="A126" s="147">
        <f t="shared" si="1"/>
        <v>58</v>
      </c>
      <c r="B126" s="14"/>
      <c r="C126" s="116" t="s">
        <v>605</v>
      </c>
      <c r="D126" s="25"/>
      <c r="E126" s="46"/>
      <c r="F126" s="131">
        <v>0</v>
      </c>
      <c r="G126" s="131">
        <v>0</v>
      </c>
      <c r="H126" s="131">
        <v>25000</v>
      </c>
      <c r="I126" s="207"/>
      <c r="J126" s="207"/>
    </row>
    <row r="127" spans="1:10" ht="12.75">
      <c r="A127" s="147">
        <f t="shared" si="1"/>
        <v>59</v>
      </c>
      <c r="B127" s="4"/>
      <c r="C127" s="79" t="s">
        <v>156</v>
      </c>
      <c r="D127" s="25"/>
      <c r="E127" s="46">
        <v>60000</v>
      </c>
      <c r="F127" s="131">
        <v>60000</v>
      </c>
      <c r="G127" s="131">
        <v>60000</v>
      </c>
      <c r="H127" s="131">
        <v>0</v>
      </c>
      <c r="I127" s="207">
        <f>H127/G127</f>
        <v>0</v>
      </c>
      <c r="J127" s="207">
        <f>H127/$H$1431</f>
        <v>0</v>
      </c>
    </row>
    <row r="128" spans="1:10" ht="12.75">
      <c r="A128" s="147">
        <f t="shared" si="1"/>
        <v>60</v>
      </c>
      <c r="B128" s="4"/>
      <c r="C128" s="79" t="s">
        <v>157</v>
      </c>
      <c r="D128" s="25"/>
      <c r="E128" s="46">
        <f>1000000-900000</f>
        <v>100000</v>
      </c>
      <c r="F128" s="131">
        <v>19000</v>
      </c>
      <c r="G128" s="131">
        <v>19000</v>
      </c>
      <c r="H128" s="131">
        <v>0</v>
      </c>
      <c r="I128" s="207">
        <f>H128/G128</f>
        <v>0</v>
      </c>
      <c r="J128" s="207">
        <f>H128/$H$1431</f>
        <v>0</v>
      </c>
    </row>
    <row r="129" spans="1:10" ht="12.75">
      <c r="A129" s="147">
        <f t="shared" si="1"/>
        <v>61</v>
      </c>
      <c r="B129" s="4"/>
      <c r="C129" s="79" t="s">
        <v>18</v>
      </c>
      <c r="D129" s="25"/>
      <c r="E129" s="46">
        <v>60000</v>
      </c>
      <c r="F129" s="131">
        <v>57000</v>
      </c>
      <c r="G129" s="131">
        <v>57000</v>
      </c>
      <c r="H129" s="131">
        <v>0</v>
      </c>
      <c r="I129" s="207">
        <f>H129/G129</f>
        <v>0</v>
      </c>
      <c r="J129" s="207">
        <f>H129/$H$1431</f>
        <v>0</v>
      </c>
    </row>
    <row r="130" spans="1:10" ht="12.75">
      <c r="A130" s="147">
        <f t="shared" si="1"/>
        <v>62</v>
      </c>
      <c r="B130" s="4"/>
      <c r="C130" s="79" t="s">
        <v>19</v>
      </c>
      <c r="D130" s="25"/>
      <c r="E130" s="46">
        <v>23000</v>
      </c>
      <c r="F130" s="131">
        <v>29130</v>
      </c>
      <c r="G130" s="131">
        <v>29130</v>
      </c>
      <c r="H130" s="131">
        <v>0</v>
      </c>
      <c r="I130" s="207">
        <f>H130/G130</f>
        <v>0</v>
      </c>
      <c r="J130" s="207">
        <f>H130/$H$1431</f>
        <v>0</v>
      </c>
    </row>
    <row r="131" spans="1:10" ht="12.75">
      <c r="A131" s="147">
        <f t="shared" si="1"/>
        <v>63</v>
      </c>
      <c r="B131" s="4"/>
      <c r="C131" s="79" t="s">
        <v>308</v>
      </c>
      <c r="D131" s="25"/>
      <c r="E131" s="46"/>
      <c r="F131" s="131"/>
      <c r="G131" s="131"/>
      <c r="H131" s="131"/>
      <c r="I131" s="207"/>
      <c r="J131" s="207"/>
    </row>
    <row r="132" spans="1:10" ht="12.75">
      <c r="A132" s="147">
        <f t="shared" si="1"/>
        <v>64</v>
      </c>
      <c r="B132" s="4"/>
      <c r="C132" s="79" t="s">
        <v>309</v>
      </c>
      <c r="D132" s="25"/>
      <c r="E132" s="46"/>
      <c r="F132" s="131">
        <v>67000</v>
      </c>
      <c r="G132" s="131">
        <v>67000</v>
      </c>
      <c r="H132" s="131">
        <v>0</v>
      </c>
      <c r="I132" s="207">
        <f>H132/G132</f>
        <v>0</v>
      </c>
      <c r="J132" s="207">
        <f>H132/$H$1431</f>
        <v>0</v>
      </c>
    </row>
    <row r="133" spans="1:10" ht="12.75">
      <c r="A133" s="147">
        <f t="shared" si="1"/>
        <v>65</v>
      </c>
      <c r="B133" s="4"/>
      <c r="C133" s="79" t="s">
        <v>542</v>
      </c>
      <c r="D133" s="25"/>
      <c r="E133" s="46"/>
      <c r="F133" s="131">
        <v>3660</v>
      </c>
      <c r="G133" s="131">
        <v>3660</v>
      </c>
      <c r="H133" s="131">
        <v>0</v>
      </c>
      <c r="I133" s="207">
        <f>H133/G133</f>
        <v>0</v>
      </c>
      <c r="J133" s="207">
        <f>H133/$H$1431</f>
        <v>0</v>
      </c>
    </row>
    <row r="134" spans="1:10" ht="12.75">
      <c r="A134" s="147">
        <f t="shared" si="1"/>
        <v>66</v>
      </c>
      <c r="B134" s="4">
        <v>4430</v>
      </c>
      <c r="C134" s="79" t="s">
        <v>261</v>
      </c>
      <c r="D134" s="25"/>
      <c r="E134" s="46"/>
      <c r="F134" s="131">
        <f>SUM(F136:F137)</f>
        <v>7864</v>
      </c>
      <c r="G134" s="131">
        <f>SUM(G136:G137)</f>
        <v>7864</v>
      </c>
      <c r="H134" s="131">
        <f>SUM(H136:H137)</f>
        <v>6000</v>
      </c>
      <c r="I134" s="207">
        <f>H134/G134</f>
        <v>0.762970498474059</v>
      </c>
      <c r="J134" s="207">
        <f>H134/$H$1431</f>
        <v>8.957696393314284E-05</v>
      </c>
    </row>
    <row r="135" spans="1:10" ht="12.75">
      <c r="A135" s="147">
        <f t="shared" si="1"/>
        <v>67</v>
      </c>
      <c r="B135" s="4"/>
      <c r="C135" s="79" t="s">
        <v>15</v>
      </c>
      <c r="D135" s="25"/>
      <c r="E135" s="46"/>
      <c r="F135" s="131"/>
      <c r="G135" s="131"/>
      <c r="H135" s="131"/>
      <c r="I135" s="207"/>
      <c r="J135" s="207"/>
    </row>
    <row r="136" spans="1:10" ht="12.75">
      <c r="A136" s="147">
        <f t="shared" si="1"/>
        <v>68</v>
      </c>
      <c r="B136" s="4"/>
      <c r="C136" s="79" t="s">
        <v>262</v>
      </c>
      <c r="D136" s="25"/>
      <c r="E136" s="46"/>
      <c r="F136" s="131">
        <v>6000</v>
      </c>
      <c r="G136" s="131">
        <v>6000</v>
      </c>
      <c r="H136" s="131">
        <v>4000</v>
      </c>
      <c r="I136" s="207">
        <f>H136/G136</f>
        <v>0.6666666666666666</v>
      </c>
      <c r="J136" s="207">
        <f>H136/$H$1431</f>
        <v>5.9717975955428565E-05</v>
      </c>
    </row>
    <row r="137" spans="1:10" ht="12.75">
      <c r="A137" s="147">
        <f t="shared" si="1"/>
        <v>69</v>
      </c>
      <c r="B137" s="4"/>
      <c r="C137" s="79" t="s">
        <v>263</v>
      </c>
      <c r="D137" s="25"/>
      <c r="E137" s="46"/>
      <c r="F137" s="131">
        <v>1864</v>
      </c>
      <c r="G137" s="131">
        <v>1864</v>
      </c>
      <c r="H137" s="131">
        <v>2000</v>
      </c>
      <c r="I137" s="207">
        <f>H137/G137</f>
        <v>1.0729613733905579</v>
      </c>
      <c r="J137" s="207">
        <f>H137/$H$1431</f>
        <v>2.9858987977714282E-05</v>
      </c>
    </row>
    <row r="138" spans="1:10" ht="12.75">
      <c r="A138" s="147">
        <f t="shared" si="1"/>
        <v>70</v>
      </c>
      <c r="B138" s="4">
        <v>6050</v>
      </c>
      <c r="C138" s="79" t="s">
        <v>129</v>
      </c>
      <c r="D138" s="25"/>
      <c r="E138" s="45" t="e">
        <f>SUM(#REF!)</f>
        <v>#REF!</v>
      </c>
      <c r="F138" s="28">
        <f>SUM(F140:F167)</f>
        <v>13929936.2</v>
      </c>
      <c r="G138" s="28">
        <f>SUM(G140:G167)</f>
        <v>771443.19</v>
      </c>
      <c r="H138" s="28">
        <f>SUM(H140:H167)</f>
        <v>14501731.95</v>
      </c>
      <c r="I138" s="207">
        <f>H138/G138</f>
        <v>18.798185191057296</v>
      </c>
      <c r="J138" s="207">
        <f>H138/$H$1431</f>
        <v>0.21650351997554254</v>
      </c>
    </row>
    <row r="139" spans="1:10" ht="12.75">
      <c r="A139" s="147">
        <f t="shared" si="1"/>
        <v>71</v>
      </c>
      <c r="B139" s="4"/>
      <c r="C139" s="79" t="s">
        <v>15</v>
      </c>
      <c r="D139" s="25"/>
      <c r="E139" s="46"/>
      <c r="F139" s="131"/>
      <c r="G139" s="131"/>
      <c r="H139" s="131"/>
      <c r="I139" s="207"/>
      <c r="J139" s="207"/>
    </row>
    <row r="140" spans="1:10" ht="12.75">
      <c r="A140" s="147">
        <f t="shared" si="1"/>
        <v>72</v>
      </c>
      <c r="B140" s="4"/>
      <c r="C140" s="79" t="s">
        <v>363</v>
      </c>
      <c r="D140" s="25"/>
      <c r="E140" s="46"/>
      <c r="F140" s="131">
        <v>234227</v>
      </c>
      <c r="G140" s="131">
        <v>203138.9</v>
      </c>
      <c r="H140" s="131">
        <v>0</v>
      </c>
      <c r="I140" s="207">
        <f>H140/G140</f>
        <v>0</v>
      </c>
      <c r="J140" s="207">
        <f>H140/$H$1431</f>
        <v>0</v>
      </c>
    </row>
    <row r="141" spans="1:10" ht="13.5" customHeight="1">
      <c r="A141" s="147">
        <f t="shared" si="1"/>
        <v>73</v>
      </c>
      <c r="B141" s="4"/>
      <c r="C141" s="79" t="s">
        <v>460</v>
      </c>
      <c r="D141" s="25"/>
      <c r="E141" s="46"/>
      <c r="F141" s="131">
        <v>160000</v>
      </c>
      <c r="G141" s="131">
        <f>95770+749.17</f>
        <v>96519.17</v>
      </c>
      <c r="H141" s="131">
        <v>1000916</v>
      </c>
      <c r="I141" s="207">
        <f>H141/G141</f>
        <v>10.37012647332131</v>
      </c>
      <c r="J141" s="207">
        <f>H141/$H$1431</f>
        <v>0.014943169405350934</v>
      </c>
    </row>
    <row r="142" spans="1:10" ht="13.5" customHeight="1">
      <c r="A142" s="147">
        <f t="shared" si="1"/>
        <v>74</v>
      </c>
      <c r="B142" s="4"/>
      <c r="C142" s="79" t="s">
        <v>413</v>
      </c>
      <c r="D142" s="25"/>
      <c r="E142" s="46"/>
      <c r="F142" s="131">
        <v>80000</v>
      </c>
      <c r="G142" s="131">
        <v>0</v>
      </c>
      <c r="H142" s="131">
        <v>469540</v>
      </c>
      <c r="I142" s="207"/>
      <c r="J142" s="207">
        <f>H142/$H$1431</f>
        <v>0.007009994607527982</v>
      </c>
    </row>
    <row r="143" spans="1:10" ht="13.5" customHeight="1">
      <c r="A143" s="147">
        <f aca="true" t="shared" si="3" ref="A143:A201">A142+1</f>
        <v>75</v>
      </c>
      <c r="B143" s="4"/>
      <c r="C143" s="79" t="s">
        <v>414</v>
      </c>
      <c r="D143" s="25"/>
      <c r="E143" s="46"/>
      <c r="F143" s="131">
        <v>600000</v>
      </c>
      <c r="G143" s="131">
        <v>10000</v>
      </c>
      <c r="H143" s="131">
        <v>700000</v>
      </c>
      <c r="I143" s="207">
        <f>H143/G143</f>
        <v>70</v>
      </c>
      <c r="J143" s="207">
        <f>H143/$H$1431</f>
        <v>0.010450645792199998</v>
      </c>
    </row>
    <row r="144" spans="1:10" ht="13.5" customHeight="1">
      <c r="A144" s="147">
        <f t="shared" si="3"/>
        <v>76</v>
      </c>
      <c r="B144" s="4"/>
      <c r="C144" s="79" t="s">
        <v>461</v>
      </c>
      <c r="D144" s="25"/>
      <c r="E144" s="46"/>
      <c r="F144" s="131"/>
      <c r="G144" s="131"/>
      <c r="H144" s="131"/>
      <c r="I144" s="207"/>
      <c r="J144" s="207"/>
    </row>
    <row r="145" spans="1:10" ht="13.5" customHeight="1">
      <c r="A145" s="147">
        <f t="shared" si="3"/>
        <v>77</v>
      </c>
      <c r="B145" s="4"/>
      <c r="C145" s="79" t="s">
        <v>462</v>
      </c>
      <c r="D145" s="25"/>
      <c r="E145" s="46"/>
      <c r="F145" s="131">
        <v>75000</v>
      </c>
      <c r="G145" s="131">
        <v>0</v>
      </c>
      <c r="H145" s="131">
        <f>250000+50480+19520</f>
        <v>320000</v>
      </c>
      <c r="I145" s="207"/>
      <c r="J145" s="207">
        <f>H145/$H$1431</f>
        <v>0.004777438076434285</v>
      </c>
    </row>
    <row r="146" spans="1:10" ht="13.5" customHeight="1">
      <c r="A146" s="147">
        <f t="shared" si="3"/>
        <v>78</v>
      </c>
      <c r="B146" s="4"/>
      <c r="C146" s="79" t="s">
        <v>463</v>
      </c>
      <c r="D146" s="25"/>
      <c r="E146" s="46"/>
      <c r="F146" s="131"/>
      <c r="G146" s="131"/>
      <c r="H146" s="131"/>
      <c r="I146" s="207"/>
      <c r="J146" s="207"/>
    </row>
    <row r="147" spans="1:10" ht="13.5" customHeight="1">
      <c r="A147" s="147">
        <f t="shared" si="3"/>
        <v>79</v>
      </c>
      <c r="B147" s="4"/>
      <c r="C147" s="79" t="s">
        <v>464</v>
      </c>
      <c r="D147" s="25"/>
      <c r="E147" s="46"/>
      <c r="F147" s="131">
        <v>670</v>
      </c>
      <c r="G147" s="131">
        <v>665.92</v>
      </c>
      <c r="H147" s="131">
        <v>0</v>
      </c>
      <c r="I147" s="207">
        <f>H147/G147</f>
        <v>0</v>
      </c>
      <c r="J147" s="207">
        <f>H147/$H$1431</f>
        <v>0</v>
      </c>
    </row>
    <row r="148" spans="1:10" ht="13.5" customHeight="1">
      <c r="A148" s="147">
        <f t="shared" si="3"/>
        <v>80</v>
      </c>
      <c r="B148" s="4"/>
      <c r="C148" s="79" t="s">
        <v>465</v>
      </c>
      <c r="D148" s="25"/>
      <c r="E148" s="46"/>
      <c r="F148" s="131">
        <v>3930000</v>
      </c>
      <c r="G148" s="131">
        <v>580</v>
      </c>
      <c r="H148" s="131">
        <v>100000</v>
      </c>
      <c r="I148" s="207">
        <f>H148/G148</f>
        <v>172.41379310344828</v>
      </c>
      <c r="J148" s="207">
        <f>H148/$H$1431</f>
        <v>0.001492949398885714</v>
      </c>
    </row>
    <row r="149" spans="1:10" ht="13.5" customHeight="1">
      <c r="A149" s="147">
        <f t="shared" si="3"/>
        <v>81</v>
      </c>
      <c r="B149" s="4"/>
      <c r="C149" s="79" t="s">
        <v>466</v>
      </c>
      <c r="D149" s="25"/>
      <c r="E149" s="46"/>
      <c r="F149" s="131">
        <v>720000</v>
      </c>
      <c r="G149" s="131">
        <v>18000</v>
      </c>
      <c r="H149" s="131">
        <v>50000</v>
      </c>
      <c r="I149" s="207">
        <f>H149/G149</f>
        <v>2.7777777777777777</v>
      </c>
      <c r="J149" s="207">
        <f>H149/$H$1431</f>
        <v>0.000746474699442857</v>
      </c>
    </row>
    <row r="150" spans="1:10" ht="13.5" customHeight="1">
      <c r="A150" s="147">
        <f t="shared" si="3"/>
        <v>82</v>
      </c>
      <c r="B150" s="4"/>
      <c r="C150" s="79" t="s">
        <v>467</v>
      </c>
      <c r="D150" s="25"/>
      <c r="E150" s="46"/>
      <c r="F150" s="131"/>
      <c r="G150" s="131"/>
      <c r="H150" s="131"/>
      <c r="I150" s="207"/>
      <c r="J150" s="207"/>
    </row>
    <row r="151" spans="1:10" ht="13.5" customHeight="1">
      <c r="A151" s="147">
        <f t="shared" si="3"/>
        <v>83</v>
      </c>
      <c r="B151" s="4"/>
      <c r="C151" s="79" t="s">
        <v>468</v>
      </c>
      <c r="D151" s="25"/>
      <c r="E151" s="46"/>
      <c r="F151" s="131"/>
      <c r="G151" s="131"/>
      <c r="H151" s="131"/>
      <c r="I151" s="207"/>
      <c r="J151" s="207"/>
    </row>
    <row r="152" spans="1:10" ht="13.5" customHeight="1">
      <c r="A152" s="147">
        <f t="shared" si="3"/>
        <v>84</v>
      </c>
      <c r="B152" s="4"/>
      <c r="C152" s="79" t="s">
        <v>469</v>
      </c>
      <c r="D152" s="25"/>
      <c r="E152" s="46"/>
      <c r="F152" s="131">
        <v>8130039.2</v>
      </c>
      <c r="G152" s="131">
        <v>442539.2</v>
      </c>
      <c r="H152" s="131">
        <f>3662.59+8634636</f>
        <v>8638298.59</v>
      </c>
      <c r="I152" s="207">
        <f>H152/G152</f>
        <v>19.519849518415544</v>
      </c>
      <c r="J152" s="207">
        <f>H152/$H$1431</f>
        <v>0.1289654268733581</v>
      </c>
    </row>
    <row r="153" spans="1:10" ht="13.5" customHeight="1">
      <c r="A153" s="147">
        <f t="shared" si="3"/>
        <v>85</v>
      </c>
      <c r="B153" s="4"/>
      <c r="C153" s="79" t="s">
        <v>654</v>
      </c>
      <c r="D153" s="25"/>
      <c r="E153" s="46"/>
      <c r="F153" s="131"/>
      <c r="G153" s="131"/>
      <c r="H153" s="131"/>
      <c r="I153" s="207"/>
      <c r="J153" s="207"/>
    </row>
    <row r="154" spans="1:10" ht="13.5" customHeight="1">
      <c r="A154" s="147">
        <f t="shared" si="3"/>
        <v>86</v>
      </c>
      <c r="B154" s="4"/>
      <c r="C154" s="79" t="s">
        <v>720</v>
      </c>
      <c r="D154" s="25"/>
      <c r="E154" s="46"/>
      <c r="F154" s="131"/>
      <c r="G154" s="131"/>
      <c r="H154" s="131"/>
      <c r="I154" s="207"/>
      <c r="J154" s="207"/>
    </row>
    <row r="155" spans="1:10" ht="13.5" customHeight="1">
      <c r="A155" s="147">
        <f t="shared" si="3"/>
        <v>87</v>
      </c>
      <c r="B155" s="4"/>
      <c r="C155" s="79" t="s">
        <v>443</v>
      </c>
      <c r="D155" s="25"/>
      <c r="E155" s="46"/>
      <c r="F155" s="131">
        <v>0</v>
      </c>
      <c r="G155" s="131">
        <v>0</v>
      </c>
      <c r="H155" s="131">
        <v>21350</v>
      </c>
      <c r="I155" s="207"/>
      <c r="J155" s="207">
        <f aca="true" t="shared" si="4" ref="J155:J167">H155/$H$1431</f>
        <v>0.00031874469666209995</v>
      </c>
    </row>
    <row r="156" spans="1:10" ht="13.5" customHeight="1">
      <c r="A156" s="147">
        <f t="shared" si="3"/>
        <v>88</v>
      </c>
      <c r="B156" s="4"/>
      <c r="C156" s="79" t="s">
        <v>662</v>
      </c>
      <c r="D156" s="25"/>
      <c r="E156" s="46"/>
      <c r="F156" s="131">
        <v>0</v>
      </c>
      <c r="G156" s="131">
        <v>0</v>
      </c>
      <c r="H156" s="131">
        <v>350000</v>
      </c>
      <c r="I156" s="207"/>
      <c r="J156" s="207">
        <f t="shared" si="4"/>
        <v>0.005225322896099999</v>
      </c>
    </row>
    <row r="157" spans="1:10" ht="13.5" customHeight="1">
      <c r="A157" s="147">
        <f t="shared" si="3"/>
        <v>89</v>
      </c>
      <c r="B157" s="4"/>
      <c r="C157" s="79" t="s">
        <v>665</v>
      </c>
      <c r="D157" s="25"/>
      <c r="E157" s="46"/>
      <c r="F157" s="131"/>
      <c r="G157" s="131"/>
      <c r="H157" s="131"/>
      <c r="I157" s="207"/>
      <c r="J157" s="207"/>
    </row>
    <row r="158" spans="1:10" ht="13.5" customHeight="1">
      <c r="A158" s="147">
        <f t="shared" si="3"/>
        <v>90</v>
      </c>
      <c r="B158" s="4"/>
      <c r="C158" s="79" t="s">
        <v>704</v>
      </c>
      <c r="D158" s="25"/>
      <c r="E158" s="46"/>
      <c r="F158" s="131"/>
      <c r="G158" s="131"/>
      <c r="H158" s="131"/>
      <c r="I158" s="207"/>
      <c r="J158" s="207"/>
    </row>
    <row r="159" spans="1:10" ht="13.5" customHeight="1">
      <c r="A159" s="147">
        <f t="shared" si="3"/>
        <v>91</v>
      </c>
      <c r="B159" s="4"/>
      <c r="C159" s="79" t="s">
        <v>666</v>
      </c>
      <c r="D159" s="25"/>
      <c r="E159" s="46"/>
      <c r="F159" s="131">
        <v>0</v>
      </c>
      <c r="G159" s="131">
        <v>0</v>
      </c>
      <c r="H159" s="131">
        <v>500000</v>
      </c>
      <c r="I159" s="207"/>
      <c r="J159" s="207">
        <f t="shared" si="4"/>
        <v>0.00746474699442857</v>
      </c>
    </row>
    <row r="160" spans="1:10" ht="13.5" customHeight="1">
      <c r="A160" s="147">
        <f t="shared" si="3"/>
        <v>92</v>
      </c>
      <c r="B160" s="4"/>
      <c r="C160" s="79" t="s">
        <v>668</v>
      </c>
      <c r="D160" s="25"/>
      <c r="E160" s="46"/>
      <c r="F160" s="131"/>
      <c r="G160" s="131"/>
      <c r="H160" s="131"/>
      <c r="I160" s="207"/>
      <c r="J160" s="207"/>
    </row>
    <row r="161" spans="1:10" ht="13.5" customHeight="1">
      <c r="A161" s="147">
        <f t="shared" si="3"/>
        <v>93</v>
      </c>
      <c r="B161" s="4"/>
      <c r="C161" s="79" t="s">
        <v>667</v>
      </c>
      <c r="D161" s="25"/>
      <c r="E161" s="46"/>
      <c r="F161" s="131">
        <v>0</v>
      </c>
      <c r="G161" s="131">
        <v>0</v>
      </c>
      <c r="H161" s="131">
        <v>250000</v>
      </c>
      <c r="I161" s="207"/>
      <c r="J161" s="207">
        <f t="shared" si="4"/>
        <v>0.003732373497214285</v>
      </c>
    </row>
    <row r="162" spans="1:10" ht="13.5" customHeight="1">
      <c r="A162" s="147">
        <f t="shared" si="3"/>
        <v>94</v>
      </c>
      <c r="B162" s="4"/>
      <c r="C162" s="79" t="s">
        <v>668</v>
      </c>
      <c r="D162" s="25"/>
      <c r="E162" s="46"/>
      <c r="F162" s="131"/>
      <c r="G162" s="131"/>
      <c r="H162" s="131"/>
      <c r="I162" s="207"/>
      <c r="J162" s="207"/>
    </row>
    <row r="163" spans="1:10" ht="13.5" customHeight="1">
      <c r="A163" s="147">
        <f t="shared" si="3"/>
        <v>95</v>
      </c>
      <c r="B163" s="4"/>
      <c r="C163" s="79" t="s">
        <v>669</v>
      </c>
      <c r="D163" s="25"/>
      <c r="E163" s="46"/>
      <c r="F163" s="131">
        <v>0</v>
      </c>
      <c r="G163" s="131">
        <v>0</v>
      </c>
      <c r="H163" s="131">
        <v>100000</v>
      </c>
      <c r="I163" s="207"/>
      <c r="J163" s="207">
        <f t="shared" si="4"/>
        <v>0.001492949398885714</v>
      </c>
    </row>
    <row r="164" spans="1:10" ht="13.5" customHeight="1">
      <c r="A164" s="147">
        <f t="shared" si="3"/>
        <v>96</v>
      </c>
      <c r="B164" s="4"/>
      <c r="C164" s="79" t="s">
        <v>670</v>
      </c>
      <c r="D164" s="25"/>
      <c r="E164" s="46"/>
      <c r="F164" s="131">
        <v>0</v>
      </c>
      <c r="G164" s="131">
        <v>0</v>
      </c>
      <c r="H164" s="131">
        <v>500000</v>
      </c>
      <c r="I164" s="207"/>
      <c r="J164" s="207">
        <f t="shared" si="4"/>
        <v>0.00746474699442857</v>
      </c>
    </row>
    <row r="165" spans="1:10" ht="13.5" customHeight="1">
      <c r="A165" s="147">
        <f t="shared" si="3"/>
        <v>97</v>
      </c>
      <c r="B165" s="4"/>
      <c r="C165" s="79" t="s">
        <v>671</v>
      </c>
      <c r="D165" s="25"/>
      <c r="E165" s="46"/>
      <c r="F165" s="131">
        <v>0</v>
      </c>
      <c r="G165" s="131">
        <v>0</v>
      </c>
      <c r="H165" s="131">
        <v>1500000</v>
      </c>
      <c r="I165" s="207"/>
      <c r="J165" s="207">
        <f t="shared" si="4"/>
        <v>0.022394240983285713</v>
      </c>
    </row>
    <row r="166" spans="1:10" ht="13.5" customHeight="1">
      <c r="A166" s="147">
        <f t="shared" si="3"/>
        <v>98</v>
      </c>
      <c r="B166" s="4"/>
      <c r="C166" s="79" t="s">
        <v>682</v>
      </c>
      <c r="D166" s="25"/>
      <c r="E166" s="46"/>
      <c r="F166" s="131"/>
      <c r="G166" s="131"/>
      <c r="H166" s="131"/>
      <c r="I166" s="207"/>
      <c r="J166" s="207"/>
    </row>
    <row r="167" spans="1:10" ht="13.5" customHeight="1">
      <c r="A167" s="147">
        <f t="shared" si="3"/>
        <v>99</v>
      </c>
      <c r="B167" s="4"/>
      <c r="C167" s="79" t="s">
        <v>683</v>
      </c>
      <c r="D167" s="25"/>
      <c r="E167" s="46"/>
      <c r="F167" s="131">
        <v>0</v>
      </c>
      <c r="G167" s="131">
        <v>0</v>
      </c>
      <c r="H167" s="131">
        <v>1627.36</v>
      </c>
      <c r="I167" s="207"/>
      <c r="J167" s="207">
        <f t="shared" si="4"/>
        <v>2.4295661337706556E-05</v>
      </c>
    </row>
    <row r="168" spans="1:10" ht="12.75">
      <c r="A168" s="147">
        <f t="shared" si="3"/>
        <v>100</v>
      </c>
      <c r="B168" s="62">
        <v>60095</v>
      </c>
      <c r="C168" s="68" t="s">
        <v>25</v>
      </c>
      <c r="D168" s="25"/>
      <c r="E168" s="46"/>
      <c r="F168" s="63">
        <f>SUM(F169:F174)</f>
        <v>161580</v>
      </c>
      <c r="G168" s="63">
        <f>SUM(G169:G174)</f>
        <v>161580</v>
      </c>
      <c r="H168" s="63">
        <f>SUM(H169:H174)</f>
        <v>343231</v>
      </c>
      <c r="I168" s="207">
        <f>H168/G168</f>
        <v>2.124217106077485</v>
      </c>
      <c r="J168" s="207">
        <f>H168/$H$1431</f>
        <v>0.005124265151289425</v>
      </c>
    </row>
    <row r="169" spans="1:10" ht="12.75">
      <c r="A169" s="147">
        <f t="shared" si="3"/>
        <v>101</v>
      </c>
      <c r="B169" s="15">
        <v>4300</v>
      </c>
      <c r="C169" s="117" t="s">
        <v>471</v>
      </c>
      <c r="D169" s="25"/>
      <c r="E169" s="46"/>
      <c r="F169" s="131">
        <v>120000</v>
      </c>
      <c r="G169" s="131">
        <v>120000</v>
      </c>
      <c r="H169" s="131">
        <v>120000</v>
      </c>
      <c r="I169" s="207">
        <f>H169/G169</f>
        <v>1</v>
      </c>
      <c r="J169" s="207">
        <f>H169/$H$1431</f>
        <v>0.0017915392786628569</v>
      </c>
    </row>
    <row r="170" spans="1:10" ht="12.75">
      <c r="A170" s="147">
        <f t="shared" si="3"/>
        <v>102</v>
      </c>
      <c r="B170" s="15">
        <v>6050</v>
      </c>
      <c r="C170" s="79" t="s">
        <v>182</v>
      </c>
      <c r="D170" s="25"/>
      <c r="E170" s="46"/>
      <c r="F170" s="131"/>
      <c r="G170" s="131"/>
      <c r="H170" s="131"/>
      <c r="I170" s="207"/>
      <c r="J170" s="207"/>
    </row>
    <row r="171" spans="1:10" ht="12.75">
      <c r="A171" s="147">
        <f t="shared" si="3"/>
        <v>103</v>
      </c>
      <c r="B171" s="15"/>
      <c r="C171" s="117" t="s">
        <v>473</v>
      </c>
      <c r="D171" s="25"/>
      <c r="E171" s="46"/>
      <c r="F171" s="131"/>
      <c r="G171" s="131"/>
      <c r="H171" s="131"/>
      <c r="I171" s="207"/>
      <c r="J171" s="207"/>
    </row>
    <row r="172" spans="1:10" ht="12.75">
      <c r="A172" s="147">
        <f t="shared" si="3"/>
        <v>104</v>
      </c>
      <c r="B172" s="15"/>
      <c r="C172" s="117" t="s">
        <v>472</v>
      </c>
      <c r="D172" s="25"/>
      <c r="E172" s="46"/>
      <c r="F172" s="131">
        <v>29380</v>
      </c>
      <c r="G172" s="131">
        <v>29380</v>
      </c>
      <c r="H172" s="131">
        <f>92720+29280+21231</f>
        <v>143231</v>
      </c>
      <c r="I172" s="207">
        <f>H172/G172</f>
        <v>4.875119128658952</v>
      </c>
      <c r="J172" s="207">
        <f>H172/$H$1431</f>
        <v>0.002138366353517997</v>
      </c>
    </row>
    <row r="173" spans="1:10" ht="12.75">
      <c r="A173" s="147">
        <f t="shared" si="3"/>
        <v>105</v>
      </c>
      <c r="B173" s="15">
        <v>6060</v>
      </c>
      <c r="C173" s="79" t="s">
        <v>329</v>
      </c>
      <c r="D173" s="25"/>
      <c r="E173" s="46"/>
      <c r="F173" s="131"/>
      <c r="G173" s="131"/>
      <c r="H173" s="131"/>
      <c r="I173" s="207"/>
      <c r="J173" s="207"/>
    </row>
    <row r="174" spans="1:10" ht="12.75">
      <c r="A174" s="147">
        <f t="shared" si="3"/>
        <v>106</v>
      </c>
      <c r="B174" s="15"/>
      <c r="C174" s="117" t="s">
        <v>474</v>
      </c>
      <c r="D174" s="25"/>
      <c r="E174" s="46"/>
      <c r="F174" s="131">
        <v>12200</v>
      </c>
      <c r="G174" s="131">
        <v>12200</v>
      </c>
      <c r="H174" s="131">
        <v>80000</v>
      </c>
      <c r="I174" s="207">
        <f>H174/G174</f>
        <v>6.557377049180328</v>
      </c>
      <c r="J174" s="207">
        <f>H174/$H$1431</f>
        <v>0.0011943595191085713</v>
      </c>
    </row>
    <row r="175" spans="1:10" s="70" customFormat="1" ht="12.75">
      <c r="A175" s="147">
        <f t="shared" si="3"/>
        <v>107</v>
      </c>
      <c r="B175" s="56">
        <v>630</v>
      </c>
      <c r="C175" s="78" t="s">
        <v>123</v>
      </c>
      <c r="D175" s="58"/>
      <c r="E175" s="59" t="e">
        <f>E176</f>
        <v>#REF!</v>
      </c>
      <c r="F175" s="58">
        <f>F176</f>
        <v>510000</v>
      </c>
      <c r="G175" s="58">
        <f>G176</f>
        <v>509878</v>
      </c>
      <c r="H175" s="58">
        <f>H176</f>
        <v>1707390</v>
      </c>
      <c r="I175" s="207">
        <f>H175/G175</f>
        <v>3.3486245729370556</v>
      </c>
      <c r="J175" s="207">
        <f>H175/$H$1431</f>
        <v>0.025490468741634794</v>
      </c>
    </row>
    <row r="176" spans="1:10" s="73" customFormat="1" ht="12.75">
      <c r="A176" s="147">
        <f t="shared" si="3"/>
        <v>108</v>
      </c>
      <c r="B176" s="62">
        <v>63095</v>
      </c>
      <c r="C176" s="68" t="s">
        <v>25</v>
      </c>
      <c r="D176" s="63"/>
      <c r="E176" s="64" t="e">
        <f>#REF!+E201+#REF!</f>
        <v>#REF!</v>
      </c>
      <c r="F176" s="63">
        <f>+F178+F180+F182+F184+F186+F190+F192+F194+F195+F200+F201+F209+F212+F215+F218+F220+F222+F223+F228+F230+F233+F236+F239+F243+F245</f>
        <v>510000</v>
      </c>
      <c r="G176" s="63">
        <f>+G178+G180+G182+G184+G186+G190+G192+G194+G195+G200+G201+G209+G212+G215+G218+G220+G222+G223+G228+G230+G233+G236+G239+G243+G245</f>
        <v>509878</v>
      </c>
      <c r="H176" s="63">
        <f>+H178+H180+H182+H184+H186+H190+H192+H194+H195+H200+H201+H209+H212+H215+H218+H220+H222+H223+H228+H230+H233+H236+H239+H243+H245</f>
        <v>1707390</v>
      </c>
      <c r="I176" s="207">
        <f>H176/G176</f>
        <v>3.3486245729370556</v>
      </c>
      <c r="J176" s="207">
        <f>H176/$H$1431</f>
        <v>0.025490468741634794</v>
      </c>
    </row>
    <row r="177" spans="1:10" s="219" customFormat="1" ht="12.75">
      <c r="A177" s="147">
        <f t="shared" si="3"/>
        <v>109</v>
      </c>
      <c r="B177" s="85">
        <v>3020</v>
      </c>
      <c r="C177" s="220" t="s">
        <v>218</v>
      </c>
      <c r="D177" s="215"/>
      <c r="E177" s="216"/>
      <c r="F177" s="217"/>
      <c r="G177" s="217"/>
      <c r="H177" s="217"/>
      <c r="I177" s="207"/>
      <c r="J177" s="218"/>
    </row>
    <row r="178" spans="1:10" s="219" customFormat="1" ht="12.75">
      <c r="A178" s="147">
        <f t="shared" si="3"/>
        <v>110</v>
      </c>
      <c r="B178" s="85"/>
      <c r="C178" s="147" t="s">
        <v>475</v>
      </c>
      <c r="D178" s="215"/>
      <c r="E178" s="216"/>
      <c r="F178" s="217">
        <v>0</v>
      </c>
      <c r="G178" s="217">
        <v>0</v>
      </c>
      <c r="H178" s="217">
        <v>600</v>
      </c>
      <c r="I178" s="207"/>
      <c r="J178" s="207">
        <f>H178/$H$1431</f>
        <v>8.957696393314284E-06</v>
      </c>
    </row>
    <row r="179" spans="1:10" s="190" customFormat="1" ht="12.75">
      <c r="A179" s="147">
        <f t="shared" si="3"/>
        <v>111</v>
      </c>
      <c r="B179" s="201">
        <v>4010</v>
      </c>
      <c r="C179" s="40" t="s">
        <v>476</v>
      </c>
      <c r="D179" s="137"/>
      <c r="E179" s="129"/>
      <c r="F179" s="173"/>
      <c r="G179" s="173"/>
      <c r="H179" s="173"/>
      <c r="I179" s="207"/>
      <c r="J179" s="207"/>
    </row>
    <row r="180" spans="1:10" s="190" customFormat="1" ht="12.75">
      <c r="A180" s="147">
        <f t="shared" si="3"/>
        <v>112</v>
      </c>
      <c r="B180" s="201"/>
      <c r="C180" s="147" t="s">
        <v>475</v>
      </c>
      <c r="D180" s="137"/>
      <c r="E180" s="129"/>
      <c r="F180" s="173">
        <v>62036.5</v>
      </c>
      <c r="G180" s="173">
        <v>62036.5</v>
      </c>
      <c r="H180" s="173">
        <v>97000</v>
      </c>
      <c r="I180" s="207">
        <f>H180/G180</f>
        <v>1.563595625156158</v>
      </c>
      <c r="J180" s="207">
        <f>H180/$H$1431</f>
        <v>0.0014481609169191426</v>
      </c>
    </row>
    <row r="181" spans="1:10" s="190" customFormat="1" ht="12.75">
      <c r="A181" s="147">
        <f t="shared" si="3"/>
        <v>113</v>
      </c>
      <c r="B181" s="201">
        <v>4040</v>
      </c>
      <c r="C181" s="79" t="s">
        <v>28</v>
      </c>
      <c r="D181" s="137"/>
      <c r="E181" s="129"/>
      <c r="F181" s="173"/>
      <c r="G181" s="173"/>
      <c r="H181" s="173"/>
      <c r="I181" s="207"/>
      <c r="J181" s="207"/>
    </row>
    <row r="182" spans="1:10" s="190" customFormat="1" ht="12.75">
      <c r="A182" s="147">
        <f t="shared" si="3"/>
        <v>114</v>
      </c>
      <c r="B182" s="201"/>
      <c r="C182" s="147" t="s">
        <v>475</v>
      </c>
      <c r="D182" s="137"/>
      <c r="E182" s="129"/>
      <c r="F182" s="173">
        <v>0</v>
      </c>
      <c r="G182" s="173">
        <v>0</v>
      </c>
      <c r="H182" s="173">
        <v>4400</v>
      </c>
      <c r="I182" s="207"/>
      <c r="J182" s="207">
        <f>H182/$H$1431</f>
        <v>6.568977355097142E-05</v>
      </c>
    </row>
    <row r="183" spans="1:10" s="190" customFormat="1" ht="12.75">
      <c r="A183" s="147">
        <f>A182+1</f>
        <v>115</v>
      </c>
      <c r="B183" s="201">
        <v>4110</v>
      </c>
      <c r="C183" s="40" t="s">
        <v>32</v>
      </c>
      <c r="D183" s="137"/>
      <c r="E183" s="129"/>
      <c r="F183" s="173"/>
      <c r="G183" s="173"/>
      <c r="H183" s="173"/>
      <c r="I183" s="207"/>
      <c r="J183" s="207"/>
    </row>
    <row r="184" spans="1:10" s="190" customFormat="1" ht="12.75">
      <c r="A184" s="147">
        <f t="shared" si="3"/>
        <v>116</v>
      </c>
      <c r="B184" s="201"/>
      <c r="C184" s="147" t="s">
        <v>475</v>
      </c>
      <c r="D184" s="137"/>
      <c r="E184" s="129"/>
      <c r="F184" s="173">
        <v>11156.5</v>
      </c>
      <c r="G184" s="173">
        <v>11156.5</v>
      </c>
      <c r="H184" s="173">
        <v>16300</v>
      </c>
      <c r="I184" s="207">
        <f>H184/G184</f>
        <v>1.4610316855644692</v>
      </c>
      <c r="J184" s="207">
        <f>H184/$H$1431</f>
        <v>0.00024335075201837138</v>
      </c>
    </row>
    <row r="185" spans="1:10" s="190" customFormat="1" ht="12.75">
      <c r="A185" s="147">
        <f t="shared" si="3"/>
        <v>117</v>
      </c>
      <c r="B185" s="201">
        <v>4120</v>
      </c>
      <c r="C185" s="40" t="s">
        <v>33</v>
      </c>
      <c r="D185" s="137"/>
      <c r="E185" s="129"/>
      <c r="F185" s="173"/>
      <c r="G185" s="173"/>
      <c r="H185" s="173"/>
      <c r="I185" s="207"/>
      <c r="J185" s="207"/>
    </row>
    <row r="186" spans="1:10" s="190" customFormat="1" ht="12.75">
      <c r="A186" s="147">
        <f t="shared" si="3"/>
        <v>118</v>
      </c>
      <c r="B186" s="201"/>
      <c r="C186" s="147" t="s">
        <v>475</v>
      </c>
      <c r="D186" s="137"/>
      <c r="E186" s="129"/>
      <c r="F186" s="173">
        <v>1807</v>
      </c>
      <c r="G186" s="173">
        <v>1807</v>
      </c>
      <c r="H186" s="173">
        <v>2500</v>
      </c>
      <c r="I186" s="207">
        <f>H186/G186</f>
        <v>1.3835085777531821</v>
      </c>
      <c r="J186" s="207">
        <f>H186/$H$1431</f>
        <v>3.7323734972142854E-05</v>
      </c>
    </row>
    <row r="187" spans="1:10" s="190" customFormat="1" ht="12.75">
      <c r="A187" s="147"/>
      <c r="B187" s="201"/>
      <c r="C187" s="147"/>
      <c r="D187" s="137"/>
      <c r="E187" s="129"/>
      <c r="F187" s="173"/>
      <c r="G187" s="173"/>
      <c r="H187" s="173"/>
      <c r="I187" s="207"/>
      <c r="J187" s="207"/>
    </row>
    <row r="188" spans="1:10" s="190" customFormat="1" ht="12.75">
      <c r="A188" s="147"/>
      <c r="B188" s="201"/>
      <c r="C188" s="147"/>
      <c r="D188" s="137"/>
      <c r="E188" s="129"/>
      <c r="F188" s="173"/>
      <c r="G188" s="173"/>
      <c r="H188" s="173"/>
      <c r="I188" s="207"/>
      <c r="J188" s="207"/>
    </row>
    <row r="189" spans="1:10" s="190" customFormat="1" ht="12.75">
      <c r="A189" s="147">
        <f>A186+1</f>
        <v>119</v>
      </c>
      <c r="B189" s="201">
        <v>4170</v>
      </c>
      <c r="C189" s="40" t="s">
        <v>211</v>
      </c>
      <c r="D189" s="137"/>
      <c r="E189" s="129"/>
      <c r="F189" s="173"/>
      <c r="G189" s="173"/>
      <c r="H189" s="173"/>
      <c r="I189" s="207"/>
      <c r="J189" s="207"/>
    </row>
    <row r="190" spans="1:10" s="190" customFormat="1" ht="12.75">
      <c r="A190" s="147">
        <f t="shared" si="3"/>
        <v>120</v>
      </c>
      <c r="B190" s="201"/>
      <c r="C190" s="147" t="s">
        <v>475</v>
      </c>
      <c r="D190" s="137"/>
      <c r="E190" s="129"/>
      <c r="F190" s="173">
        <v>8000</v>
      </c>
      <c r="G190" s="173">
        <v>8000</v>
      </c>
      <c r="H190" s="173">
        <v>11500</v>
      </c>
      <c r="I190" s="207">
        <f>H190/G190</f>
        <v>1.4375</v>
      </c>
      <c r="J190" s="207">
        <f>H190/$H$1431</f>
        <v>0.0001716891808718571</v>
      </c>
    </row>
    <row r="191" spans="1:10" s="190" customFormat="1" ht="12.75">
      <c r="A191" s="147">
        <f t="shared" si="3"/>
        <v>121</v>
      </c>
      <c r="B191" s="201">
        <v>4210</v>
      </c>
      <c r="C191" s="40" t="s">
        <v>132</v>
      </c>
      <c r="D191" s="137"/>
      <c r="E191" s="129"/>
      <c r="F191" s="173"/>
      <c r="G191" s="173"/>
      <c r="H191" s="173"/>
      <c r="I191" s="207"/>
      <c r="J191" s="207"/>
    </row>
    <row r="192" spans="1:10" s="190" customFormat="1" ht="12.75">
      <c r="A192" s="147">
        <f t="shared" si="3"/>
        <v>122</v>
      </c>
      <c r="B192" s="201"/>
      <c r="C192" s="147" t="s">
        <v>475</v>
      </c>
      <c r="D192" s="137"/>
      <c r="E192" s="129"/>
      <c r="F192" s="173">
        <v>10500</v>
      </c>
      <c r="G192" s="173">
        <v>10500</v>
      </c>
      <c r="H192" s="173">
        <v>5200</v>
      </c>
      <c r="I192" s="207">
        <f>H192/G192</f>
        <v>0.49523809523809526</v>
      </c>
      <c r="J192" s="207">
        <f>H192/$H$1431</f>
        <v>7.763336874205713E-05</v>
      </c>
    </row>
    <row r="193" spans="1:10" s="190" customFormat="1" ht="12.75">
      <c r="A193" s="147">
        <f t="shared" si="3"/>
        <v>123</v>
      </c>
      <c r="B193" s="201">
        <v>4260</v>
      </c>
      <c r="C193" s="147" t="s">
        <v>134</v>
      </c>
      <c r="D193" s="137"/>
      <c r="E193" s="129"/>
      <c r="F193" s="173"/>
      <c r="G193" s="173"/>
      <c r="H193" s="173"/>
      <c r="I193" s="207"/>
      <c r="J193" s="207"/>
    </row>
    <row r="194" spans="1:10" s="190" customFormat="1" ht="12.75">
      <c r="A194" s="147">
        <f t="shared" si="3"/>
        <v>124</v>
      </c>
      <c r="B194" s="201"/>
      <c r="C194" s="147" t="s">
        <v>475</v>
      </c>
      <c r="D194" s="137"/>
      <c r="E194" s="129"/>
      <c r="F194" s="173">
        <v>250</v>
      </c>
      <c r="G194" s="173">
        <v>250</v>
      </c>
      <c r="H194" s="173">
        <v>800</v>
      </c>
      <c r="I194" s="207">
        <f>H194/G194</f>
        <v>3.2</v>
      </c>
      <c r="J194" s="207">
        <f>H194/$H$1431</f>
        <v>1.1943595191085713E-05</v>
      </c>
    </row>
    <row r="195" spans="1:10" s="190" customFormat="1" ht="12.75">
      <c r="A195" s="147">
        <f t="shared" si="3"/>
        <v>125</v>
      </c>
      <c r="B195" s="201">
        <v>4270</v>
      </c>
      <c r="C195" s="40" t="s">
        <v>131</v>
      </c>
      <c r="D195" s="137"/>
      <c r="E195" s="129"/>
      <c r="F195" s="137">
        <f>SUM(F197:F198)</f>
        <v>5500</v>
      </c>
      <c r="G195" s="137">
        <f>SUM(G197:G198)</f>
        <v>5378</v>
      </c>
      <c r="H195" s="137">
        <f>SUM(H197:H198)</f>
        <v>1000</v>
      </c>
      <c r="I195" s="207">
        <f>H195/G195</f>
        <v>0.1859427296392711</v>
      </c>
      <c r="J195" s="207">
        <f>H195/$H$1431</f>
        <v>1.4929493988857141E-05</v>
      </c>
    </row>
    <row r="196" spans="1:10" s="190" customFormat="1" ht="12.75">
      <c r="A196" s="147">
        <f t="shared" si="3"/>
        <v>126</v>
      </c>
      <c r="B196" s="201"/>
      <c r="C196" s="40" t="s">
        <v>15</v>
      </c>
      <c r="D196" s="137"/>
      <c r="E196" s="129"/>
      <c r="F196" s="173"/>
      <c r="G196" s="173"/>
      <c r="H196" s="173"/>
      <c r="I196" s="207"/>
      <c r="J196" s="207"/>
    </row>
    <row r="197" spans="1:10" s="190" customFormat="1" ht="12.75">
      <c r="A197" s="147">
        <f t="shared" si="3"/>
        <v>127</v>
      </c>
      <c r="B197" s="201"/>
      <c r="C197" s="147" t="s">
        <v>475</v>
      </c>
      <c r="D197" s="137"/>
      <c r="E197" s="129"/>
      <c r="F197" s="173">
        <v>500</v>
      </c>
      <c r="G197" s="173">
        <v>500</v>
      </c>
      <c r="H197" s="173">
        <v>1000</v>
      </c>
      <c r="I197" s="207">
        <f>H197/G197</f>
        <v>2</v>
      </c>
      <c r="J197" s="207">
        <f>H197/$H$1431</f>
        <v>1.4929493988857141E-05</v>
      </c>
    </row>
    <row r="198" spans="1:10" s="190" customFormat="1" ht="12.75">
      <c r="A198" s="147">
        <f t="shared" si="3"/>
        <v>128</v>
      </c>
      <c r="B198" s="201"/>
      <c r="C198" s="40" t="s">
        <v>478</v>
      </c>
      <c r="D198" s="137"/>
      <c r="E198" s="129"/>
      <c r="F198" s="173">
        <v>5000</v>
      </c>
      <c r="G198" s="173">
        <v>4878</v>
      </c>
      <c r="H198" s="173">
        <v>0</v>
      </c>
      <c r="I198" s="207">
        <f>H198/G198</f>
        <v>0</v>
      </c>
      <c r="J198" s="207">
        <f>H198/$H$1431</f>
        <v>0</v>
      </c>
    </row>
    <row r="199" spans="1:10" s="190" customFormat="1" ht="12.75">
      <c r="A199" s="147">
        <f t="shared" si="3"/>
        <v>129</v>
      </c>
      <c r="B199" s="201">
        <v>4280</v>
      </c>
      <c r="C199" s="40" t="s">
        <v>252</v>
      </c>
      <c r="D199" s="137"/>
      <c r="E199" s="129"/>
      <c r="F199" s="173"/>
      <c r="G199" s="173"/>
      <c r="H199" s="173"/>
      <c r="I199" s="207"/>
      <c r="J199" s="207"/>
    </row>
    <row r="200" spans="1:10" s="190" customFormat="1" ht="12.75">
      <c r="A200" s="147">
        <f t="shared" si="3"/>
        <v>130</v>
      </c>
      <c r="B200" s="201"/>
      <c r="C200" s="147" t="s">
        <v>475</v>
      </c>
      <c r="D200" s="137"/>
      <c r="E200" s="129"/>
      <c r="F200" s="173">
        <v>230</v>
      </c>
      <c r="G200" s="173">
        <v>230</v>
      </c>
      <c r="H200" s="173">
        <v>180</v>
      </c>
      <c r="I200" s="207">
        <f>H200/G200</f>
        <v>0.782608695652174</v>
      </c>
      <c r="J200" s="207">
        <f>H200/$H$1431</f>
        <v>2.687308917994285E-06</v>
      </c>
    </row>
    <row r="201" spans="1:10" ht="12.75">
      <c r="A201" s="147">
        <f t="shared" si="3"/>
        <v>131</v>
      </c>
      <c r="B201" s="15">
        <v>4300</v>
      </c>
      <c r="C201" s="117" t="s">
        <v>130</v>
      </c>
      <c r="D201" s="25"/>
      <c r="E201" s="51">
        <f>E204</f>
        <v>70000</v>
      </c>
      <c r="F201" s="139">
        <f>SUM(F203:F207)</f>
        <v>368500</v>
      </c>
      <c r="G201" s="139">
        <f>SUM(G203:G207)</f>
        <v>368500</v>
      </c>
      <c r="H201" s="139">
        <f>SUM(H203:H207)</f>
        <v>433050</v>
      </c>
      <c r="I201" s="207">
        <f>H201/G201</f>
        <v>1.17516960651289</v>
      </c>
      <c r="J201" s="207">
        <f>H201/$H$1431</f>
        <v>0.006465217371874585</v>
      </c>
    </row>
    <row r="202" spans="1:10" ht="12.75">
      <c r="A202" s="147">
        <f aca="true" t="shared" si="5" ref="A202:A233">A201+1</f>
        <v>132</v>
      </c>
      <c r="B202" s="15"/>
      <c r="C202" s="117" t="s">
        <v>15</v>
      </c>
      <c r="D202" s="25"/>
      <c r="E202" s="46"/>
      <c r="F202" s="131"/>
      <c r="G202" s="131"/>
      <c r="H202" s="131"/>
      <c r="I202" s="207"/>
      <c r="J202" s="207"/>
    </row>
    <row r="203" spans="1:10" ht="12.75">
      <c r="A203" s="147">
        <f t="shared" si="5"/>
        <v>133</v>
      </c>
      <c r="B203" s="15"/>
      <c r="C203" s="147" t="s">
        <v>477</v>
      </c>
      <c r="D203" s="25"/>
      <c r="E203" s="46"/>
      <c r="F203" s="131">
        <f>10300+5200</f>
        <v>15500</v>
      </c>
      <c r="G203" s="131">
        <v>15500</v>
      </c>
      <c r="H203" s="131">
        <v>13050</v>
      </c>
      <c r="I203" s="207">
        <f>H203/G203</f>
        <v>0.8419354838709677</v>
      </c>
      <c r="J203" s="207">
        <f>H203/$H$1431</f>
        <v>0.00019482989655458569</v>
      </c>
    </row>
    <row r="204" spans="1:10" ht="13.5" customHeight="1">
      <c r="A204" s="147">
        <f t="shared" si="5"/>
        <v>134</v>
      </c>
      <c r="B204" s="15"/>
      <c r="C204" s="117" t="s">
        <v>479</v>
      </c>
      <c r="D204" s="25"/>
      <c r="E204" s="46">
        <v>70000</v>
      </c>
      <c r="F204" s="131">
        <v>353000</v>
      </c>
      <c r="G204" s="131">
        <v>353000</v>
      </c>
      <c r="H204" s="131">
        <v>370000</v>
      </c>
      <c r="I204" s="207">
        <f>H204/G204</f>
        <v>1.048158640226629</v>
      </c>
      <c r="J204" s="207">
        <f>H204/$H$1431</f>
        <v>0.005523912775877142</v>
      </c>
    </row>
    <row r="205" spans="1:10" ht="13.5" customHeight="1">
      <c r="A205" s="147">
        <f t="shared" si="5"/>
        <v>135</v>
      </c>
      <c r="B205" s="15"/>
      <c r="C205" s="117" t="s">
        <v>595</v>
      </c>
      <c r="D205" s="25"/>
      <c r="E205" s="46"/>
      <c r="F205" s="131"/>
      <c r="G205" s="131"/>
      <c r="H205" s="131"/>
      <c r="I205" s="207"/>
      <c r="J205" s="207"/>
    </row>
    <row r="206" spans="1:10" ht="13.5" customHeight="1">
      <c r="A206" s="147">
        <f t="shared" si="5"/>
        <v>136</v>
      </c>
      <c r="B206" s="15"/>
      <c r="C206" s="117" t="s">
        <v>596</v>
      </c>
      <c r="D206" s="25"/>
      <c r="E206" s="46"/>
      <c r="F206" s="131"/>
      <c r="G206" s="131"/>
      <c r="H206" s="131"/>
      <c r="I206" s="207"/>
      <c r="J206" s="207"/>
    </row>
    <row r="207" spans="1:10" ht="13.5" customHeight="1">
      <c r="A207" s="147">
        <f t="shared" si="5"/>
        <v>137</v>
      </c>
      <c r="B207" s="15"/>
      <c r="C207" s="117" t="s">
        <v>705</v>
      </c>
      <c r="D207" s="25"/>
      <c r="E207" s="46"/>
      <c r="F207" s="131">
        <v>0</v>
      </c>
      <c r="G207" s="131">
        <v>0</v>
      </c>
      <c r="H207" s="131">
        <v>50000</v>
      </c>
      <c r="I207" s="207"/>
      <c r="J207" s="207">
        <f aca="true" t="shared" si="6" ref="J207:J226">H207/$H$1431</f>
        <v>0.000746474699442857</v>
      </c>
    </row>
    <row r="208" spans="1:10" ht="13.5" customHeight="1">
      <c r="A208" s="147">
        <f t="shared" si="5"/>
        <v>138</v>
      </c>
      <c r="B208" s="15">
        <v>4350</v>
      </c>
      <c r="C208" s="117" t="s">
        <v>287</v>
      </c>
      <c r="D208" s="25"/>
      <c r="E208" s="46"/>
      <c r="F208" s="131"/>
      <c r="G208" s="131"/>
      <c r="H208" s="131"/>
      <c r="I208" s="207"/>
      <c r="J208" s="207"/>
    </row>
    <row r="209" spans="1:10" ht="13.5" customHeight="1">
      <c r="A209" s="147">
        <f t="shared" si="5"/>
        <v>139</v>
      </c>
      <c r="B209" s="15"/>
      <c r="C209" s="147" t="s">
        <v>475</v>
      </c>
      <c r="D209" s="25"/>
      <c r="E209" s="46"/>
      <c r="F209" s="131">
        <v>440</v>
      </c>
      <c r="G209" s="131">
        <v>440</v>
      </c>
      <c r="H209" s="131">
        <v>800</v>
      </c>
      <c r="I209" s="207">
        <f>H209/G209</f>
        <v>1.8181818181818181</v>
      </c>
      <c r="J209" s="207">
        <f t="shared" si="6"/>
        <v>1.1943595191085713E-05</v>
      </c>
    </row>
    <row r="210" spans="1:10" ht="13.5" customHeight="1">
      <c r="A210" s="147">
        <f t="shared" si="5"/>
        <v>140</v>
      </c>
      <c r="B210" s="15">
        <v>4360</v>
      </c>
      <c r="C210" s="117" t="s">
        <v>480</v>
      </c>
      <c r="D210" s="25"/>
      <c r="E210" s="46"/>
      <c r="F210" s="131"/>
      <c r="G210" s="131"/>
      <c r="H210" s="131"/>
      <c r="I210" s="207"/>
      <c r="J210" s="207"/>
    </row>
    <row r="211" spans="1:10" ht="13.5" customHeight="1">
      <c r="A211" s="147">
        <f t="shared" si="5"/>
        <v>141</v>
      </c>
      <c r="B211" s="15"/>
      <c r="C211" s="117" t="s">
        <v>481</v>
      </c>
      <c r="D211" s="25"/>
      <c r="E211" s="46"/>
      <c r="F211" s="131"/>
      <c r="G211" s="131"/>
      <c r="H211" s="131"/>
      <c r="I211" s="207"/>
      <c r="J211" s="207"/>
    </row>
    <row r="212" spans="1:10" ht="13.5" customHeight="1">
      <c r="A212" s="147">
        <f t="shared" si="5"/>
        <v>142</v>
      </c>
      <c r="B212" s="15"/>
      <c r="C212" s="147" t="s">
        <v>475</v>
      </c>
      <c r="D212" s="25"/>
      <c r="E212" s="46"/>
      <c r="F212" s="131">
        <v>1500</v>
      </c>
      <c r="G212" s="131">
        <v>1500</v>
      </c>
      <c r="H212" s="131">
        <v>4500</v>
      </c>
      <c r="I212" s="207">
        <f>H212/G212</f>
        <v>3</v>
      </c>
      <c r="J212" s="207">
        <f t="shared" si="6"/>
        <v>6.718272294985713E-05</v>
      </c>
    </row>
    <row r="213" spans="1:10" ht="13.5" customHeight="1">
      <c r="A213" s="147">
        <f t="shared" si="5"/>
        <v>143</v>
      </c>
      <c r="B213" s="15">
        <v>4370</v>
      </c>
      <c r="C213" s="117" t="s">
        <v>480</v>
      </c>
      <c r="D213" s="25"/>
      <c r="E213" s="46"/>
      <c r="F213" s="131"/>
      <c r="G213" s="131"/>
      <c r="H213" s="131"/>
      <c r="I213" s="207"/>
      <c r="J213" s="207"/>
    </row>
    <row r="214" spans="1:10" ht="13.5" customHeight="1">
      <c r="A214" s="147">
        <f t="shared" si="5"/>
        <v>144</v>
      </c>
      <c r="B214" s="15"/>
      <c r="C214" s="6" t="s">
        <v>294</v>
      </c>
      <c r="D214" s="25"/>
      <c r="E214" s="46"/>
      <c r="F214" s="131"/>
      <c r="G214" s="131"/>
      <c r="H214" s="131"/>
      <c r="I214" s="207"/>
      <c r="J214" s="207"/>
    </row>
    <row r="215" spans="1:10" ht="13.5" customHeight="1">
      <c r="A215" s="147">
        <f t="shared" si="5"/>
        <v>145</v>
      </c>
      <c r="B215" s="15"/>
      <c r="C215" s="147" t="s">
        <v>475</v>
      </c>
      <c r="D215" s="25"/>
      <c r="E215" s="46"/>
      <c r="F215" s="131">
        <v>1400</v>
      </c>
      <c r="G215" s="131">
        <v>1400</v>
      </c>
      <c r="H215" s="131">
        <v>1800</v>
      </c>
      <c r="I215" s="207">
        <f>H215/G215</f>
        <v>1.2857142857142858</v>
      </c>
      <c r="J215" s="207">
        <f t="shared" si="6"/>
        <v>2.6873089179942854E-05</v>
      </c>
    </row>
    <row r="216" spans="1:10" ht="13.5" customHeight="1">
      <c r="A216" s="147">
        <f t="shared" si="5"/>
        <v>146</v>
      </c>
      <c r="B216" s="15">
        <v>4400</v>
      </c>
      <c r="C216" s="40" t="s">
        <v>346</v>
      </c>
      <c r="D216" s="25"/>
      <c r="E216" s="46"/>
      <c r="F216" s="131"/>
      <c r="G216" s="131"/>
      <c r="H216" s="131"/>
      <c r="I216" s="207"/>
      <c r="J216" s="207"/>
    </row>
    <row r="217" spans="1:10" ht="13.5" customHeight="1">
      <c r="A217" s="147">
        <f t="shared" si="5"/>
        <v>147</v>
      </c>
      <c r="B217" s="15"/>
      <c r="C217" s="40" t="s">
        <v>345</v>
      </c>
      <c r="D217" s="25"/>
      <c r="E217" s="46"/>
      <c r="F217" s="131"/>
      <c r="G217" s="131"/>
      <c r="H217" s="131"/>
      <c r="I217" s="207"/>
      <c r="J217" s="207"/>
    </row>
    <row r="218" spans="1:10" ht="13.5" customHeight="1">
      <c r="A218" s="147">
        <f t="shared" si="5"/>
        <v>148</v>
      </c>
      <c r="B218" s="15"/>
      <c r="C218" s="147" t="s">
        <v>475</v>
      </c>
      <c r="D218" s="25"/>
      <c r="E218" s="46"/>
      <c r="F218" s="131">
        <v>6020</v>
      </c>
      <c r="G218" s="131">
        <v>6020</v>
      </c>
      <c r="H218" s="131">
        <v>5400</v>
      </c>
      <c r="I218" s="207">
        <f>H218/G218</f>
        <v>0.8970099667774086</v>
      </c>
      <c r="J218" s="207">
        <f t="shared" si="6"/>
        <v>8.061926753982856E-05</v>
      </c>
    </row>
    <row r="219" spans="1:10" ht="13.5" customHeight="1">
      <c r="A219" s="147">
        <f t="shared" si="5"/>
        <v>149</v>
      </c>
      <c r="B219" s="15">
        <v>4410</v>
      </c>
      <c r="C219" s="6" t="s">
        <v>29</v>
      </c>
      <c r="D219" s="25"/>
      <c r="E219" s="46"/>
      <c r="F219" s="131"/>
      <c r="G219" s="131"/>
      <c r="H219" s="131"/>
      <c r="I219" s="207"/>
      <c r="J219" s="207"/>
    </row>
    <row r="220" spans="1:10" ht="13.5" customHeight="1">
      <c r="A220" s="147">
        <f t="shared" si="5"/>
        <v>150</v>
      </c>
      <c r="B220" s="15"/>
      <c r="C220" s="147" t="s">
        <v>475</v>
      </c>
      <c r="D220" s="25"/>
      <c r="E220" s="46"/>
      <c r="F220" s="131">
        <v>10000</v>
      </c>
      <c r="G220" s="131">
        <v>10000</v>
      </c>
      <c r="H220" s="131">
        <v>6000</v>
      </c>
      <c r="I220" s="207">
        <f>H220/G220</f>
        <v>0.6</v>
      </c>
      <c r="J220" s="207">
        <f t="shared" si="6"/>
        <v>8.957696393314284E-05</v>
      </c>
    </row>
    <row r="221" spans="1:10" ht="13.5" customHeight="1">
      <c r="A221" s="147">
        <f t="shared" si="5"/>
        <v>151</v>
      </c>
      <c r="B221" s="15">
        <v>4420</v>
      </c>
      <c r="C221" s="6" t="s">
        <v>41</v>
      </c>
      <c r="D221" s="25"/>
      <c r="E221" s="46"/>
      <c r="F221" s="131"/>
      <c r="G221" s="131"/>
      <c r="H221" s="131"/>
      <c r="I221" s="207"/>
      <c r="J221" s="207"/>
    </row>
    <row r="222" spans="1:10" ht="13.5" customHeight="1">
      <c r="A222" s="147">
        <f t="shared" si="5"/>
        <v>152</v>
      </c>
      <c r="B222" s="15"/>
      <c r="C222" s="147" t="s">
        <v>475</v>
      </c>
      <c r="D222" s="25"/>
      <c r="E222" s="46"/>
      <c r="F222" s="131">
        <v>5000</v>
      </c>
      <c r="G222" s="131">
        <v>5000</v>
      </c>
      <c r="H222" s="131">
        <v>10000</v>
      </c>
      <c r="I222" s="207">
        <f>H222/G222</f>
        <v>2</v>
      </c>
      <c r="J222" s="207">
        <f t="shared" si="6"/>
        <v>0.00014929493988857142</v>
      </c>
    </row>
    <row r="223" spans="1:10" ht="13.5" customHeight="1">
      <c r="A223" s="147">
        <f t="shared" si="5"/>
        <v>153</v>
      </c>
      <c r="B223" s="15">
        <v>4430</v>
      </c>
      <c r="C223" s="6" t="s">
        <v>39</v>
      </c>
      <c r="D223" s="25"/>
      <c r="E223" s="46"/>
      <c r="F223" s="131">
        <f>SUM(F225:F226)</f>
        <v>3000</v>
      </c>
      <c r="G223" s="131">
        <f>SUM(G225:G226)</f>
        <v>3000</v>
      </c>
      <c r="H223" s="131">
        <f>SUM(H225:H226)</f>
        <v>400</v>
      </c>
      <c r="I223" s="207">
        <f>H223/G223</f>
        <v>0.13333333333333333</v>
      </c>
      <c r="J223" s="207">
        <f t="shared" si="6"/>
        <v>5.971797595542857E-06</v>
      </c>
    </row>
    <row r="224" spans="1:10" ht="13.5" customHeight="1">
      <c r="A224" s="147">
        <f t="shared" si="5"/>
        <v>154</v>
      </c>
      <c r="B224" s="15"/>
      <c r="C224" s="6" t="s">
        <v>15</v>
      </c>
      <c r="D224" s="25"/>
      <c r="E224" s="46"/>
      <c r="F224" s="131"/>
      <c r="G224" s="131"/>
      <c r="H224" s="131"/>
      <c r="I224" s="207"/>
      <c r="J224" s="207"/>
    </row>
    <row r="225" spans="1:10" ht="13.5" customHeight="1">
      <c r="A225" s="147">
        <f t="shared" si="5"/>
        <v>155</v>
      </c>
      <c r="B225" s="15"/>
      <c r="C225" s="147" t="s">
        <v>477</v>
      </c>
      <c r="D225" s="25"/>
      <c r="E225" s="46"/>
      <c r="F225" s="131">
        <v>1000</v>
      </c>
      <c r="G225" s="131">
        <v>1000</v>
      </c>
      <c r="H225" s="131">
        <v>400</v>
      </c>
      <c r="I225" s="207">
        <f>H225/G225</f>
        <v>0.4</v>
      </c>
      <c r="J225" s="207">
        <f t="shared" si="6"/>
        <v>5.971797595542857E-06</v>
      </c>
    </row>
    <row r="226" spans="1:10" ht="13.5" customHeight="1">
      <c r="A226" s="147">
        <f t="shared" si="5"/>
        <v>156</v>
      </c>
      <c r="B226" s="15"/>
      <c r="C226" s="117" t="s">
        <v>479</v>
      </c>
      <c r="D226" s="25"/>
      <c r="E226" s="46"/>
      <c r="F226" s="131">
        <v>2000</v>
      </c>
      <c r="G226" s="131">
        <v>2000</v>
      </c>
      <c r="H226" s="131">
        <v>0</v>
      </c>
      <c r="I226" s="207">
        <f>H226/G226</f>
        <v>0</v>
      </c>
      <c r="J226" s="207">
        <f t="shared" si="6"/>
        <v>0</v>
      </c>
    </row>
    <row r="227" spans="1:10" ht="13.5" customHeight="1">
      <c r="A227" s="147">
        <f t="shared" si="5"/>
        <v>157</v>
      </c>
      <c r="B227" s="15">
        <v>4440</v>
      </c>
      <c r="C227" s="119" t="s">
        <v>543</v>
      </c>
      <c r="D227" s="25"/>
      <c r="E227" s="46"/>
      <c r="F227" s="131"/>
      <c r="G227" s="131"/>
      <c r="H227" s="131"/>
      <c r="I227" s="207"/>
      <c r="J227" s="207"/>
    </row>
    <row r="228" spans="1:10" ht="13.5" customHeight="1">
      <c r="A228" s="147">
        <f t="shared" si="5"/>
        <v>158</v>
      </c>
      <c r="B228" s="15"/>
      <c r="C228" s="147" t="s">
        <v>475</v>
      </c>
      <c r="D228" s="25"/>
      <c r="E228" s="46"/>
      <c r="F228" s="131">
        <v>870</v>
      </c>
      <c r="G228" s="131">
        <v>870</v>
      </c>
      <c r="H228" s="131">
        <v>1700</v>
      </c>
      <c r="I228" s="207">
        <f>H228/G228</f>
        <v>1.9540229885057472</v>
      </c>
      <c r="J228" s="207">
        <f>H228/$H$1431</f>
        <v>2.538013978105714E-05</v>
      </c>
    </row>
    <row r="229" spans="1:10" ht="13.5" customHeight="1">
      <c r="A229" s="147">
        <f t="shared" si="5"/>
        <v>159</v>
      </c>
      <c r="B229" s="15">
        <v>4480</v>
      </c>
      <c r="C229" s="147" t="s">
        <v>285</v>
      </c>
      <c r="D229" s="25"/>
      <c r="E229" s="46"/>
      <c r="F229" s="131"/>
      <c r="G229" s="131"/>
      <c r="H229" s="131"/>
      <c r="I229" s="207"/>
      <c r="J229" s="207"/>
    </row>
    <row r="230" spans="1:10" ht="13.5" customHeight="1">
      <c r="A230" s="147">
        <f t="shared" si="5"/>
        <v>160</v>
      </c>
      <c r="B230" s="15"/>
      <c r="C230" s="147" t="s">
        <v>475</v>
      </c>
      <c r="D230" s="25"/>
      <c r="E230" s="46"/>
      <c r="F230" s="131">
        <v>190</v>
      </c>
      <c r="G230" s="131">
        <v>190</v>
      </c>
      <c r="H230" s="131">
        <v>360</v>
      </c>
      <c r="I230" s="207">
        <f>H230/G230</f>
        <v>1.894736842105263</v>
      </c>
      <c r="J230" s="207">
        <f>H230/$H$1431</f>
        <v>5.37461783598857E-06</v>
      </c>
    </row>
    <row r="231" spans="1:10" ht="13.5" customHeight="1">
      <c r="A231" s="147">
        <f t="shared" si="5"/>
        <v>161</v>
      </c>
      <c r="B231" s="15">
        <v>4700</v>
      </c>
      <c r="C231" s="147" t="s">
        <v>297</v>
      </c>
      <c r="D231" s="25"/>
      <c r="E231" s="46"/>
      <c r="F231" s="131"/>
      <c r="G231" s="131"/>
      <c r="H231" s="131"/>
      <c r="I231" s="207"/>
      <c r="J231" s="207"/>
    </row>
    <row r="232" spans="1:10" ht="13.5" customHeight="1">
      <c r="A232" s="147">
        <f t="shared" si="5"/>
        <v>162</v>
      </c>
      <c r="B232" s="15"/>
      <c r="C232" s="147" t="s">
        <v>296</v>
      </c>
      <c r="D232" s="25"/>
      <c r="E232" s="46"/>
      <c r="F232" s="131"/>
      <c r="G232" s="131"/>
      <c r="H232" s="131"/>
      <c r="I232" s="207"/>
      <c r="J232" s="207"/>
    </row>
    <row r="233" spans="1:10" ht="13.5" customHeight="1">
      <c r="A233" s="147">
        <f t="shared" si="5"/>
        <v>163</v>
      </c>
      <c r="B233" s="15"/>
      <c r="C233" s="147" t="s">
        <v>475</v>
      </c>
      <c r="D233" s="25"/>
      <c r="E233" s="46"/>
      <c r="F233" s="131">
        <v>0</v>
      </c>
      <c r="G233" s="131">
        <v>0</v>
      </c>
      <c r="H233" s="131">
        <v>2000</v>
      </c>
      <c r="I233" s="207"/>
      <c r="J233" s="207">
        <f>H233/$H$1431</f>
        <v>2.9858987977714282E-05</v>
      </c>
    </row>
    <row r="234" spans="1:10" ht="13.5" customHeight="1">
      <c r="A234" s="147">
        <f aca="true" t="shared" si="7" ref="A234:A254">A233+1</f>
        <v>164</v>
      </c>
      <c r="B234" s="15">
        <v>4740</v>
      </c>
      <c r="C234" s="6" t="s">
        <v>270</v>
      </c>
      <c r="D234" s="25"/>
      <c r="E234" s="46"/>
      <c r="F234" s="131"/>
      <c r="G234" s="131"/>
      <c r="H234" s="131"/>
      <c r="I234" s="207"/>
      <c r="J234" s="207"/>
    </row>
    <row r="235" spans="1:10" ht="13.5" customHeight="1">
      <c r="A235" s="147">
        <f t="shared" si="7"/>
        <v>165</v>
      </c>
      <c r="B235" s="15"/>
      <c r="C235" s="6" t="s">
        <v>271</v>
      </c>
      <c r="D235" s="25"/>
      <c r="E235" s="46"/>
      <c r="F235" s="131"/>
      <c r="G235" s="131"/>
      <c r="H235" s="131"/>
      <c r="I235" s="207"/>
      <c r="J235" s="207"/>
    </row>
    <row r="236" spans="1:10" ht="13.5" customHeight="1">
      <c r="A236" s="147">
        <f t="shared" si="7"/>
        <v>166</v>
      </c>
      <c r="B236" s="15"/>
      <c r="C236" s="147" t="s">
        <v>475</v>
      </c>
      <c r="D236" s="25"/>
      <c r="E236" s="46"/>
      <c r="F236" s="131">
        <v>600</v>
      </c>
      <c r="G236" s="131">
        <v>600</v>
      </c>
      <c r="H236" s="131">
        <v>400</v>
      </c>
      <c r="I236" s="207">
        <f>H236/G236</f>
        <v>0.6666666666666666</v>
      </c>
      <c r="J236" s="207">
        <f>H236/$H$1431</f>
        <v>5.971797595542857E-06</v>
      </c>
    </row>
    <row r="237" spans="1:10" ht="13.5" customHeight="1">
      <c r="A237" s="147">
        <f t="shared" si="7"/>
        <v>167</v>
      </c>
      <c r="B237" s="15">
        <v>4750</v>
      </c>
      <c r="C237" s="147" t="s">
        <v>544</v>
      </c>
      <c r="D237" s="25"/>
      <c r="E237" s="46"/>
      <c r="F237" s="131"/>
      <c r="G237" s="131"/>
      <c r="H237" s="131"/>
      <c r="I237" s="207"/>
      <c r="J237" s="207"/>
    </row>
    <row r="238" spans="1:10" ht="13.5" customHeight="1">
      <c r="A238" s="147">
        <f t="shared" si="7"/>
        <v>168</v>
      </c>
      <c r="B238" s="15"/>
      <c r="C238" s="147" t="s">
        <v>545</v>
      </c>
      <c r="D238" s="25"/>
      <c r="E238" s="46"/>
      <c r="F238" s="131"/>
      <c r="G238" s="131"/>
      <c r="H238" s="131"/>
      <c r="I238" s="207"/>
      <c r="J238" s="207"/>
    </row>
    <row r="239" spans="1:10" ht="13.5" customHeight="1">
      <c r="A239" s="147">
        <f t="shared" si="7"/>
        <v>169</v>
      </c>
      <c r="B239" s="15"/>
      <c r="C239" s="147" t="s">
        <v>475</v>
      </c>
      <c r="D239" s="25"/>
      <c r="E239" s="46"/>
      <c r="F239" s="131">
        <v>2000</v>
      </c>
      <c r="G239" s="131">
        <v>2000</v>
      </c>
      <c r="H239" s="131">
        <v>1500</v>
      </c>
      <c r="I239" s="207">
        <f>H239/G239</f>
        <v>0.75</v>
      </c>
      <c r="J239" s="207"/>
    </row>
    <row r="240" spans="1:10" ht="13.5" customHeight="1">
      <c r="A240" s="147">
        <f t="shared" si="7"/>
        <v>170</v>
      </c>
      <c r="B240" s="15">
        <v>6050</v>
      </c>
      <c r="C240" s="79" t="s">
        <v>129</v>
      </c>
      <c r="D240" s="25"/>
      <c r="E240" s="46"/>
      <c r="F240" s="131"/>
      <c r="G240" s="131"/>
      <c r="H240" s="131"/>
      <c r="I240" s="207"/>
      <c r="J240" s="207"/>
    </row>
    <row r="241" spans="1:10" ht="13.5" customHeight="1">
      <c r="A241" s="147">
        <f t="shared" si="7"/>
        <v>171</v>
      </c>
      <c r="B241" s="15"/>
      <c r="C241" s="117" t="s">
        <v>658</v>
      </c>
      <c r="D241" s="25"/>
      <c r="E241" s="46"/>
      <c r="F241" s="131"/>
      <c r="G241" s="131"/>
      <c r="H241" s="131"/>
      <c r="I241" s="207"/>
      <c r="J241" s="207"/>
    </row>
    <row r="242" spans="1:10" ht="13.5" customHeight="1">
      <c r="A242" s="147">
        <f t="shared" si="7"/>
        <v>172</v>
      </c>
      <c r="B242" s="15"/>
      <c r="C242" s="119" t="s">
        <v>657</v>
      </c>
      <c r="D242" s="25"/>
      <c r="E242" s="46"/>
      <c r="F242" s="131"/>
      <c r="G242" s="131"/>
      <c r="H242" s="131"/>
      <c r="I242" s="207"/>
      <c r="J242" s="207"/>
    </row>
    <row r="243" spans="1:10" ht="13.5" customHeight="1">
      <c r="A243" s="147">
        <f t="shared" si="7"/>
        <v>173</v>
      </c>
      <c r="B243" s="15"/>
      <c r="C243" s="117" t="s">
        <v>659</v>
      </c>
      <c r="D243" s="25"/>
      <c r="E243" s="46"/>
      <c r="F243" s="131">
        <v>0</v>
      </c>
      <c r="G243" s="131">
        <v>0</v>
      </c>
      <c r="H243" s="131">
        <v>1100000</v>
      </c>
      <c r="I243" s="207"/>
      <c r="J243" s="207">
        <f>H243/$H$1431</f>
        <v>0.016422443387742854</v>
      </c>
    </row>
    <row r="244" spans="1:10" ht="13.5" customHeight="1">
      <c r="A244" s="147">
        <f>A243+1</f>
        <v>174</v>
      </c>
      <c r="B244" s="15">
        <v>6060</v>
      </c>
      <c r="C244" s="117" t="s">
        <v>329</v>
      </c>
      <c r="D244" s="25"/>
      <c r="E244" s="46"/>
      <c r="F244" s="131"/>
      <c r="G244" s="131"/>
      <c r="H244" s="131"/>
      <c r="I244" s="207"/>
      <c r="J244" s="207"/>
    </row>
    <row r="245" spans="1:10" ht="13.5" customHeight="1">
      <c r="A245" s="147">
        <f t="shared" si="7"/>
        <v>175</v>
      </c>
      <c r="B245" s="15"/>
      <c r="C245" s="147" t="s">
        <v>475</v>
      </c>
      <c r="D245" s="25"/>
      <c r="E245" s="46"/>
      <c r="F245" s="131">
        <v>11000</v>
      </c>
      <c r="G245" s="131">
        <v>11000</v>
      </c>
      <c r="H245" s="131">
        <v>0</v>
      </c>
      <c r="I245" s="207">
        <f>H245/G245</f>
        <v>0</v>
      </c>
      <c r="J245" s="207">
        <f>H245/$H$1431</f>
        <v>0</v>
      </c>
    </row>
    <row r="246" spans="1:10" ht="13.5" customHeight="1">
      <c r="A246" s="147"/>
      <c r="B246" s="15"/>
      <c r="C246" s="147"/>
      <c r="D246" s="25"/>
      <c r="E246" s="46"/>
      <c r="F246" s="131"/>
      <c r="G246" s="131"/>
      <c r="H246" s="131"/>
      <c r="I246" s="207"/>
      <c r="J246" s="207"/>
    </row>
    <row r="247" spans="1:10" ht="13.5" customHeight="1">
      <c r="A247" s="147"/>
      <c r="B247" s="15"/>
      <c r="C247" s="147"/>
      <c r="D247" s="25"/>
      <c r="E247" s="46"/>
      <c r="F247" s="131"/>
      <c r="G247" s="131"/>
      <c r="H247" s="131"/>
      <c r="I247" s="207"/>
      <c r="J247" s="207"/>
    </row>
    <row r="248" spans="1:10" ht="13.5" customHeight="1">
      <c r="A248" s="147"/>
      <c r="B248" s="15"/>
      <c r="C248" s="147"/>
      <c r="D248" s="25"/>
      <c r="E248" s="46"/>
      <c r="F248" s="131"/>
      <c r="G248" s="131"/>
      <c r="H248" s="131"/>
      <c r="I248" s="207"/>
      <c r="J248" s="207"/>
    </row>
    <row r="249" spans="1:10" ht="13.5" customHeight="1">
      <c r="A249" s="147"/>
      <c r="B249" s="15"/>
      <c r="C249" s="147"/>
      <c r="D249" s="25"/>
      <c r="E249" s="46"/>
      <c r="F249" s="131"/>
      <c r="G249" s="131"/>
      <c r="H249" s="131"/>
      <c r="I249" s="207"/>
      <c r="J249" s="207"/>
    </row>
    <row r="250" spans="1:10" s="1" customFormat="1" ht="12.75">
      <c r="A250" s="147">
        <f>A245+1</f>
        <v>176</v>
      </c>
      <c r="B250" s="56">
        <v>700</v>
      </c>
      <c r="C250" s="78" t="s">
        <v>94</v>
      </c>
      <c r="D250" s="25"/>
      <c r="E250" s="42" t="e">
        <f>#REF!+E251+#REF!+E272</f>
        <v>#REF!</v>
      </c>
      <c r="F250" s="25">
        <f>+F251+F272</f>
        <v>3893112</v>
      </c>
      <c r="G250" s="25">
        <f>+G251+G272</f>
        <v>3733111.04</v>
      </c>
      <c r="H250" s="25">
        <f>+H251+H272</f>
        <v>2394243.92</v>
      </c>
      <c r="I250" s="207">
        <f>H250/G250</f>
        <v>0.6413535237355276</v>
      </c>
      <c r="J250" s="207">
        <f>H250/$H$1431</f>
        <v>0.03574485021149776</v>
      </c>
    </row>
    <row r="251" spans="1:10" s="67" customFormat="1" ht="12.75">
      <c r="A251" s="147">
        <f t="shared" si="7"/>
        <v>177</v>
      </c>
      <c r="B251" s="62">
        <v>70005</v>
      </c>
      <c r="C251" s="68" t="s">
        <v>95</v>
      </c>
      <c r="D251" s="66"/>
      <c r="E251" s="64">
        <f>E252+E260+E262</f>
        <v>77000</v>
      </c>
      <c r="F251" s="63">
        <f>+F252+F260+F262+F271</f>
        <v>560824</v>
      </c>
      <c r="G251" s="63">
        <f>+G252+G260+G262+G271</f>
        <v>560824</v>
      </c>
      <c r="H251" s="63">
        <f>+H252+H260+H262+H271</f>
        <v>838500</v>
      </c>
      <c r="I251" s="207">
        <f>H251/G251</f>
        <v>1.4951214641313495</v>
      </c>
      <c r="J251" s="207">
        <f>H251/$H$1431</f>
        <v>0.012518380709656713</v>
      </c>
    </row>
    <row r="252" spans="1:10" ht="12.75">
      <c r="A252" s="147">
        <f t="shared" si="7"/>
        <v>178</v>
      </c>
      <c r="B252" s="4">
        <v>4300</v>
      </c>
      <c r="C252" s="117" t="s">
        <v>130</v>
      </c>
      <c r="D252" s="25"/>
      <c r="E252" s="45">
        <f>SUM(E254:E257)</f>
        <v>47000</v>
      </c>
      <c r="F252" s="28">
        <f>SUM(F254:F259)</f>
        <v>178500</v>
      </c>
      <c r="G252" s="28">
        <f>SUM(G254:G259)</f>
        <v>178500</v>
      </c>
      <c r="H252" s="28">
        <f>SUM(H254:H259)</f>
        <v>108500</v>
      </c>
      <c r="I252" s="207">
        <f>H252/G252</f>
        <v>0.6078431372549019</v>
      </c>
      <c r="J252" s="207">
        <f>H252/$H$1431</f>
        <v>0.0016198500977909998</v>
      </c>
    </row>
    <row r="253" spans="1:10" ht="12.75">
      <c r="A253" s="147">
        <f t="shared" si="7"/>
        <v>179</v>
      </c>
      <c r="B253" s="4"/>
      <c r="C253" s="79" t="s">
        <v>15</v>
      </c>
      <c r="D253" s="25"/>
      <c r="E253" s="46"/>
      <c r="F253" s="131"/>
      <c r="G253" s="131"/>
      <c r="H253" s="131"/>
      <c r="I253" s="207"/>
      <c r="J253" s="207"/>
    </row>
    <row r="254" spans="1:10" ht="12.75">
      <c r="A254" s="147">
        <f t="shared" si="7"/>
        <v>180</v>
      </c>
      <c r="B254" s="4"/>
      <c r="C254" s="79" t="s">
        <v>38</v>
      </c>
      <c r="D254" s="25"/>
      <c r="E254" s="46">
        <v>10000</v>
      </c>
      <c r="F254" s="131">
        <v>8000</v>
      </c>
      <c r="G254" s="131">
        <v>8000</v>
      </c>
      <c r="H254" s="131">
        <v>8000</v>
      </c>
      <c r="I254" s="207">
        <f aca="true" t="shared" si="8" ref="I254:I260">H254/G254</f>
        <v>1</v>
      </c>
      <c r="J254" s="207">
        <f aca="true" t="shared" si="9" ref="J254:J260">H254/$H$1431</f>
        <v>0.00011943595191085713</v>
      </c>
    </row>
    <row r="255" spans="1:10" ht="12.75">
      <c r="A255" s="147">
        <f aca="true" t="shared" si="10" ref="A255:A317">A254+1</f>
        <v>181</v>
      </c>
      <c r="B255" s="4"/>
      <c r="C255" s="79" t="s">
        <v>482</v>
      </c>
      <c r="D255" s="25"/>
      <c r="E255" s="46">
        <v>20000</v>
      </c>
      <c r="F255" s="131">
        <v>30000</v>
      </c>
      <c r="G255" s="131">
        <v>30000</v>
      </c>
      <c r="H255" s="131">
        <v>30000</v>
      </c>
      <c r="I255" s="207">
        <f t="shared" si="8"/>
        <v>1</v>
      </c>
      <c r="J255" s="207">
        <f t="shared" si="9"/>
        <v>0.0004478848196657142</v>
      </c>
    </row>
    <row r="256" spans="1:10" ht="12.75">
      <c r="A256" s="147">
        <f t="shared" si="10"/>
        <v>182</v>
      </c>
      <c r="B256" s="4"/>
      <c r="C256" s="79" t="s">
        <v>189</v>
      </c>
      <c r="D256" s="25"/>
      <c r="E256" s="46">
        <v>15000</v>
      </c>
      <c r="F256" s="131">
        <v>60000</v>
      </c>
      <c r="G256" s="131">
        <v>60000</v>
      </c>
      <c r="H256" s="131">
        <v>60000</v>
      </c>
      <c r="I256" s="207">
        <f t="shared" si="8"/>
        <v>1</v>
      </c>
      <c r="J256" s="207">
        <f t="shared" si="9"/>
        <v>0.0008957696393314284</v>
      </c>
    </row>
    <row r="257" spans="1:10" ht="12.75">
      <c r="A257" s="147">
        <f t="shared" si="10"/>
        <v>183</v>
      </c>
      <c r="B257" s="4"/>
      <c r="C257" s="79" t="s">
        <v>190</v>
      </c>
      <c r="D257" s="25"/>
      <c r="E257" s="46">
        <v>2000</v>
      </c>
      <c r="F257" s="131">
        <v>500</v>
      </c>
      <c r="G257" s="131">
        <v>500</v>
      </c>
      <c r="H257" s="131">
        <v>500</v>
      </c>
      <c r="I257" s="207">
        <f t="shared" si="8"/>
        <v>1</v>
      </c>
      <c r="J257" s="207">
        <f t="shared" si="9"/>
        <v>7.464746994428571E-06</v>
      </c>
    </row>
    <row r="258" spans="1:10" ht="12.75">
      <c r="A258" s="147">
        <f t="shared" si="10"/>
        <v>184</v>
      </c>
      <c r="B258" s="4"/>
      <c r="C258" s="79" t="s">
        <v>205</v>
      </c>
      <c r="D258" s="25"/>
      <c r="E258" s="46"/>
      <c r="F258" s="131">
        <v>10000</v>
      </c>
      <c r="G258" s="131">
        <v>10000</v>
      </c>
      <c r="H258" s="131">
        <v>10000</v>
      </c>
      <c r="I258" s="207">
        <f t="shared" si="8"/>
        <v>1</v>
      </c>
      <c r="J258" s="207">
        <f t="shared" si="9"/>
        <v>0.00014929493988857142</v>
      </c>
    </row>
    <row r="259" spans="1:10" ht="12.75">
      <c r="A259" s="147">
        <f t="shared" si="10"/>
        <v>185</v>
      </c>
      <c r="B259" s="4"/>
      <c r="C259" s="79" t="s">
        <v>483</v>
      </c>
      <c r="D259" s="25"/>
      <c r="E259" s="46"/>
      <c r="F259" s="131">
        <v>70000</v>
      </c>
      <c r="G259" s="131">
        <v>70000</v>
      </c>
      <c r="H259" s="131">
        <v>0</v>
      </c>
      <c r="I259" s="207">
        <f t="shared" si="8"/>
        <v>0</v>
      </c>
      <c r="J259" s="207">
        <f t="shared" si="9"/>
        <v>0</v>
      </c>
    </row>
    <row r="260" spans="1:10" ht="12.75">
      <c r="A260" s="147">
        <f t="shared" si="10"/>
        <v>186</v>
      </c>
      <c r="B260" s="4">
        <v>4430</v>
      </c>
      <c r="C260" s="79" t="s">
        <v>39</v>
      </c>
      <c r="D260" s="25"/>
      <c r="E260" s="46">
        <v>15000</v>
      </c>
      <c r="F260" s="131">
        <v>11434</v>
      </c>
      <c r="G260" s="131">
        <v>11434</v>
      </c>
      <c r="H260" s="131">
        <v>10000</v>
      </c>
      <c r="I260" s="207">
        <f t="shared" si="8"/>
        <v>0.8745845723281441</v>
      </c>
      <c r="J260" s="207">
        <f t="shared" si="9"/>
        <v>0.00014929493988857142</v>
      </c>
    </row>
    <row r="261" spans="1:10" ht="12.75">
      <c r="A261" s="147">
        <f t="shared" si="10"/>
        <v>187</v>
      </c>
      <c r="B261" s="4">
        <v>4590</v>
      </c>
      <c r="C261" s="79" t="s">
        <v>133</v>
      </c>
      <c r="D261" s="25"/>
      <c r="E261" s="46"/>
      <c r="F261" s="131"/>
      <c r="G261" s="131"/>
      <c r="H261" s="131"/>
      <c r="I261" s="207"/>
      <c r="J261" s="207"/>
    </row>
    <row r="262" spans="1:10" ht="12.75">
      <c r="A262" s="147">
        <f t="shared" si="10"/>
        <v>188</v>
      </c>
      <c r="B262" s="4"/>
      <c r="C262" s="79" t="s">
        <v>289</v>
      </c>
      <c r="D262" s="25"/>
      <c r="E262" s="46">
        <v>15000</v>
      </c>
      <c r="F262" s="131">
        <f>SUM(F264:F269)</f>
        <v>355000</v>
      </c>
      <c r="G262" s="131">
        <f>SUM(G264:G269)</f>
        <v>355000</v>
      </c>
      <c r="H262" s="131">
        <f>SUM(H264:H269)</f>
        <v>720000</v>
      </c>
      <c r="I262" s="207">
        <f aca="true" t="shared" si="11" ref="I262:I328">H262/G262</f>
        <v>2.028169014084507</v>
      </c>
      <c r="J262" s="207">
        <f>H262/$H$1431</f>
        <v>0.010749235671977142</v>
      </c>
    </row>
    <row r="263" spans="1:10" ht="12.75">
      <c r="A263" s="147">
        <f t="shared" si="10"/>
        <v>189</v>
      </c>
      <c r="B263" s="4"/>
      <c r="C263" s="79" t="s">
        <v>15</v>
      </c>
      <c r="D263" s="25"/>
      <c r="E263" s="46"/>
      <c r="F263" s="131"/>
      <c r="G263" s="131"/>
      <c r="H263" s="131"/>
      <c r="I263" s="207"/>
      <c r="J263" s="207"/>
    </row>
    <row r="264" spans="1:10" ht="12.75">
      <c r="A264" s="147">
        <f t="shared" si="10"/>
        <v>190</v>
      </c>
      <c r="B264" s="4"/>
      <c r="C264" s="79" t="s">
        <v>19</v>
      </c>
      <c r="D264" s="25"/>
      <c r="E264" s="46"/>
      <c r="F264" s="131">
        <v>9249</v>
      </c>
      <c r="G264" s="131">
        <v>9249</v>
      </c>
      <c r="H264" s="131">
        <v>5000</v>
      </c>
      <c r="I264" s="207">
        <f t="shared" si="11"/>
        <v>0.5405989836739107</v>
      </c>
      <c r="J264" s="207">
        <f>H264/$H$1431</f>
        <v>7.464746994428571E-05</v>
      </c>
    </row>
    <row r="265" spans="1:10" ht="12.75">
      <c r="A265" s="147">
        <f t="shared" si="10"/>
        <v>191</v>
      </c>
      <c r="B265" s="4"/>
      <c r="C265" s="79" t="s">
        <v>290</v>
      </c>
      <c r="D265" s="25"/>
      <c r="E265" s="46"/>
      <c r="F265" s="131"/>
      <c r="G265" s="131"/>
      <c r="H265" s="131"/>
      <c r="I265" s="207"/>
      <c r="J265" s="207"/>
    </row>
    <row r="266" spans="1:10" ht="12.75">
      <c r="A266" s="147">
        <f t="shared" si="10"/>
        <v>192</v>
      </c>
      <c r="B266" s="4"/>
      <c r="C266" s="79" t="s">
        <v>426</v>
      </c>
      <c r="D266" s="25"/>
      <c r="E266" s="46"/>
      <c r="F266" s="131">
        <v>342751</v>
      </c>
      <c r="G266" s="131">
        <v>342751</v>
      </c>
      <c r="H266" s="131">
        <v>347000</v>
      </c>
      <c r="I266" s="207">
        <f t="shared" si="11"/>
        <v>1.012396754495246</v>
      </c>
      <c r="J266" s="207">
        <f>H266/$H$1431</f>
        <v>0.005180534414133428</v>
      </c>
    </row>
    <row r="267" spans="1:10" ht="12.75">
      <c r="A267" s="147">
        <f t="shared" si="10"/>
        <v>193</v>
      </c>
      <c r="B267" s="4"/>
      <c r="C267" s="79" t="s">
        <v>264</v>
      </c>
      <c r="D267" s="25"/>
      <c r="E267" s="46"/>
      <c r="F267" s="131">
        <v>3000</v>
      </c>
      <c r="G267" s="131">
        <v>3000</v>
      </c>
      <c r="H267" s="131">
        <v>3000</v>
      </c>
      <c r="I267" s="207">
        <f t="shared" si="11"/>
        <v>1</v>
      </c>
      <c r="J267" s="207">
        <f>H267/$H$1431</f>
        <v>4.478848196657142E-05</v>
      </c>
    </row>
    <row r="268" spans="1:10" ht="12.75">
      <c r="A268" s="147">
        <f t="shared" si="10"/>
        <v>194</v>
      </c>
      <c r="B268" s="4"/>
      <c r="C268" s="79" t="s">
        <v>607</v>
      </c>
      <c r="D268" s="25"/>
      <c r="E268" s="46"/>
      <c r="F268" s="131"/>
      <c r="G268" s="213"/>
      <c r="H268" s="214"/>
      <c r="I268" s="210"/>
      <c r="J268" s="207"/>
    </row>
    <row r="269" spans="1:10" ht="12.75">
      <c r="A269" s="147">
        <f t="shared" si="10"/>
        <v>195</v>
      </c>
      <c r="B269" s="4"/>
      <c r="C269" s="79" t="s">
        <v>608</v>
      </c>
      <c r="D269" s="25"/>
      <c r="E269" s="46"/>
      <c r="F269" s="131">
        <v>0</v>
      </c>
      <c r="G269" s="213">
        <v>0</v>
      </c>
      <c r="H269" s="214">
        <v>365000</v>
      </c>
      <c r="I269" s="210"/>
      <c r="J269" s="207">
        <f>H269/$H$1431</f>
        <v>0.005449265305932856</v>
      </c>
    </row>
    <row r="270" spans="1:10" ht="12.75">
      <c r="A270" s="147">
        <f t="shared" si="10"/>
        <v>196</v>
      </c>
      <c r="B270" s="4">
        <v>4610</v>
      </c>
      <c r="C270" s="103" t="s">
        <v>706</v>
      </c>
      <c r="D270" s="25"/>
      <c r="E270" s="46"/>
      <c r="F270" s="28"/>
      <c r="G270" s="213"/>
      <c r="H270" s="214"/>
      <c r="I270" s="210"/>
      <c r="J270" s="207"/>
    </row>
    <row r="271" spans="1:10" ht="12.75">
      <c r="A271" s="147">
        <f t="shared" si="10"/>
        <v>197</v>
      </c>
      <c r="B271" s="4"/>
      <c r="C271" s="79" t="s">
        <v>484</v>
      </c>
      <c r="D271" s="25"/>
      <c r="E271" s="46"/>
      <c r="F271" s="131">
        <v>15890</v>
      </c>
      <c r="G271" s="131">
        <v>15890</v>
      </c>
      <c r="H271" s="131">
        <v>0</v>
      </c>
      <c r="I271" s="207">
        <f t="shared" si="11"/>
        <v>0</v>
      </c>
      <c r="J271" s="207">
        <f>H271/$H$1431</f>
        <v>0</v>
      </c>
    </row>
    <row r="272" spans="1:10" s="67" customFormat="1" ht="12.75">
      <c r="A272" s="147">
        <f t="shared" si="10"/>
        <v>198</v>
      </c>
      <c r="B272" s="62">
        <v>70095</v>
      </c>
      <c r="C272" s="68" t="s">
        <v>25</v>
      </c>
      <c r="D272" s="66"/>
      <c r="E272" s="64" t="e">
        <f>E285+#REF!</f>
        <v>#REF!</v>
      </c>
      <c r="F272" s="63">
        <f>+F273+F274+F277+F284+F285+F299</f>
        <v>3332288</v>
      </c>
      <c r="G272" s="63">
        <f>+G273+G274+G277+G284+G285+G299</f>
        <v>3172287.04</v>
      </c>
      <c r="H272" s="63">
        <f>+H273+H274+H277+H284+H285+H299</f>
        <v>1555743.9200000002</v>
      </c>
      <c r="I272" s="207">
        <f t="shared" si="11"/>
        <v>0.49041713450999697</v>
      </c>
      <c r="J272" s="207">
        <f>H272/$H$1431</f>
        <v>0.023226469501841047</v>
      </c>
    </row>
    <row r="273" spans="1:10" s="203" customFormat="1" ht="12.75">
      <c r="A273" s="147">
        <f t="shared" si="10"/>
        <v>199</v>
      </c>
      <c r="B273" s="201">
        <v>4260</v>
      </c>
      <c r="C273" s="40" t="s">
        <v>134</v>
      </c>
      <c r="D273" s="202"/>
      <c r="E273" s="129"/>
      <c r="F273" s="137">
        <v>620</v>
      </c>
      <c r="G273" s="137">
        <v>620</v>
      </c>
      <c r="H273" s="137">
        <v>0</v>
      </c>
      <c r="I273" s="207">
        <f t="shared" si="11"/>
        <v>0</v>
      </c>
      <c r="J273" s="207">
        <f>H273/$H$1431</f>
        <v>0</v>
      </c>
    </row>
    <row r="274" spans="1:10" s="101" customFormat="1" ht="12.75">
      <c r="A274" s="147">
        <f t="shared" si="10"/>
        <v>200</v>
      </c>
      <c r="B274" s="102">
        <v>4270</v>
      </c>
      <c r="C274" s="79" t="s">
        <v>286</v>
      </c>
      <c r="D274" s="100"/>
      <c r="E274" s="82"/>
      <c r="F274" s="84">
        <f>F276</f>
        <v>22450</v>
      </c>
      <c r="G274" s="84">
        <f>G276</f>
        <v>22450</v>
      </c>
      <c r="H274" s="84">
        <f>H276</f>
        <v>0</v>
      </c>
      <c r="I274" s="207">
        <f t="shared" si="11"/>
        <v>0</v>
      </c>
      <c r="J274" s="207">
        <f>H274/$H$1431</f>
        <v>0</v>
      </c>
    </row>
    <row r="275" spans="1:10" s="101" customFormat="1" ht="12.75">
      <c r="A275" s="147">
        <f t="shared" si="10"/>
        <v>201</v>
      </c>
      <c r="B275" s="102"/>
      <c r="C275" s="79" t="s">
        <v>15</v>
      </c>
      <c r="D275" s="100"/>
      <c r="E275" s="82"/>
      <c r="F275" s="136"/>
      <c r="G275" s="136"/>
      <c r="H275" s="136"/>
      <c r="I275" s="207"/>
      <c r="J275" s="207"/>
    </row>
    <row r="276" spans="1:10" s="101" customFormat="1" ht="12.75">
      <c r="A276" s="147">
        <f t="shared" si="10"/>
        <v>202</v>
      </c>
      <c r="B276" s="102"/>
      <c r="C276" s="103" t="s">
        <v>428</v>
      </c>
      <c r="D276" s="100"/>
      <c r="E276" s="82"/>
      <c r="F276" s="136">
        <v>22450</v>
      </c>
      <c r="G276" s="136">
        <v>22450</v>
      </c>
      <c r="H276" s="136">
        <v>0</v>
      </c>
      <c r="I276" s="207">
        <f t="shared" si="11"/>
        <v>0</v>
      </c>
      <c r="J276" s="207">
        <f>H276/$H$1431</f>
        <v>0</v>
      </c>
    </row>
    <row r="277" spans="1:10" s="101" customFormat="1" ht="12.75">
      <c r="A277" s="147">
        <f t="shared" si="10"/>
        <v>203</v>
      </c>
      <c r="B277" s="102">
        <v>4300</v>
      </c>
      <c r="C277" s="79" t="s">
        <v>130</v>
      </c>
      <c r="D277" s="100"/>
      <c r="E277" s="82"/>
      <c r="F277" s="84">
        <f>SUM(F279:F283)</f>
        <v>941059</v>
      </c>
      <c r="G277" s="84">
        <f>SUM(G279:G283)</f>
        <v>941059</v>
      </c>
      <c r="H277" s="84">
        <f>SUM(H279:H283)</f>
        <v>1072541.6</v>
      </c>
      <c r="I277" s="207">
        <f t="shared" si="11"/>
        <v>1.1397177010155581</v>
      </c>
      <c r="J277" s="207">
        <f>H277/$H$1431</f>
        <v>0.01601250336999922</v>
      </c>
    </row>
    <row r="278" spans="1:10" s="101" customFormat="1" ht="12.75">
      <c r="A278" s="147">
        <f t="shared" si="10"/>
        <v>204</v>
      </c>
      <c r="B278" s="102"/>
      <c r="C278" s="79" t="s">
        <v>15</v>
      </c>
      <c r="D278" s="100"/>
      <c r="E278" s="82"/>
      <c r="F278" s="136"/>
      <c r="G278" s="136"/>
      <c r="H278" s="136"/>
      <c r="I278" s="207"/>
      <c r="J278" s="207"/>
    </row>
    <row r="279" spans="1:10" s="101" customFormat="1" ht="12.75">
      <c r="A279" s="147">
        <f t="shared" si="10"/>
        <v>205</v>
      </c>
      <c r="B279" s="102"/>
      <c r="C279" s="79" t="s">
        <v>251</v>
      </c>
      <c r="D279" s="100"/>
      <c r="E279" s="82"/>
      <c r="F279" s="136">
        <v>852650</v>
      </c>
      <c r="G279" s="136">
        <v>852650</v>
      </c>
      <c r="H279" s="136">
        <v>972620</v>
      </c>
      <c r="I279" s="207">
        <f t="shared" si="11"/>
        <v>1.1407025156863895</v>
      </c>
      <c r="J279" s="207">
        <f>H279/$H$1431</f>
        <v>0.014520724443442231</v>
      </c>
    </row>
    <row r="280" spans="1:10" s="101" customFormat="1" ht="12.75">
      <c r="A280" s="147">
        <f t="shared" si="10"/>
        <v>206</v>
      </c>
      <c r="B280" s="102"/>
      <c r="C280" s="79" t="s">
        <v>333</v>
      </c>
      <c r="D280" s="100"/>
      <c r="E280" s="82"/>
      <c r="F280" s="136">
        <v>33070</v>
      </c>
      <c r="G280" s="136">
        <v>33070</v>
      </c>
      <c r="H280" s="136">
        <v>29921.6</v>
      </c>
      <c r="I280" s="207">
        <f t="shared" si="11"/>
        <v>0.9047958875113395</v>
      </c>
      <c r="J280" s="207">
        <f>H280/$H$1431</f>
        <v>0.0004467143473369878</v>
      </c>
    </row>
    <row r="281" spans="1:10" s="101" customFormat="1" ht="12.75">
      <c r="A281" s="147">
        <f t="shared" si="10"/>
        <v>207</v>
      </c>
      <c r="B281" s="102"/>
      <c r="C281" s="79" t="s">
        <v>334</v>
      </c>
      <c r="D281" s="100"/>
      <c r="E281" s="82"/>
      <c r="F281" s="136"/>
      <c r="G281" s="136"/>
      <c r="H281" s="136"/>
      <c r="I281" s="207"/>
      <c r="J281" s="207"/>
    </row>
    <row r="282" spans="1:10" s="101" customFormat="1" ht="12.75">
      <c r="A282" s="147">
        <f t="shared" si="10"/>
        <v>208</v>
      </c>
      <c r="B282" s="102"/>
      <c r="C282" s="79" t="s">
        <v>624</v>
      </c>
      <c r="D282" s="100"/>
      <c r="E282" s="82"/>
      <c r="F282" s="136">
        <v>50339</v>
      </c>
      <c r="G282" s="136">
        <v>50339</v>
      </c>
      <c r="H282" s="136">
        <v>0</v>
      </c>
      <c r="I282" s="207">
        <f t="shared" si="11"/>
        <v>0</v>
      </c>
      <c r="J282" s="207">
        <f>H282/$H$1431</f>
        <v>0</v>
      </c>
    </row>
    <row r="283" spans="1:10" s="101" customFormat="1" ht="12.75">
      <c r="A283" s="147">
        <f t="shared" si="10"/>
        <v>209</v>
      </c>
      <c r="B283" s="102"/>
      <c r="C283" s="79" t="s">
        <v>664</v>
      </c>
      <c r="D283" s="100"/>
      <c r="E283" s="82"/>
      <c r="F283" s="136">
        <v>5000</v>
      </c>
      <c r="G283" s="136">
        <v>5000</v>
      </c>
      <c r="H283" s="136">
        <v>70000</v>
      </c>
      <c r="I283" s="207">
        <f t="shared" si="11"/>
        <v>14</v>
      </c>
      <c r="J283" s="207">
        <f>H283/$H$1431</f>
        <v>0.00104506457922</v>
      </c>
    </row>
    <row r="284" spans="1:10" s="101" customFormat="1" ht="12.75">
      <c r="A284" s="147">
        <f t="shared" si="10"/>
        <v>210</v>
      </c>
      <c r="B284" s="102">
        <v>4430</v>
      </c>
      <c r="C284" s="79" t="s">
        <v>250</v>
      </c>
      <c r="D284" s="100"/>
      <c r="E284" s="82"/>
      <c r="F284" s="136">
        <v>10396</v>
      </c>
      <c r="G284" s="136">
        <v>10396</v>
      </c>
      <c r="H284" s="136">
        <v>10396</v>
      </c>
      <c r="I284" s="207">
        <f t="shared" si="11"/>
        <v>1</v>
      </c>
      <c r="J284" s="207">
        <f>H284/$H$1431</f>
        <v>0.00015520701950815882</v>
      </c>
    </row>
    <row r="285" spans="1:10" ht="12.75">
      <c r="A285" s="147">
        <f t="shared" si="10"/>
        <v>211</v>
      </c>
      <c r="B285" s="15">
        <v>6050</v>
      </c>
      <c r="C285" s="79" t="s">
        <v>129</v>
      </c>
      <c r="D285" s="23"/>
      <c r="E285" s="47" t="e">
        <f>SUM(#REF!)</f>
        <v>#REF!</v>
      </c>
      <c r="F285" s="23">
        <f>SUM(F288:F297)</f>
        <v>400722</v>
      </c>
      <c r="G285" s="23">
        <f>SUM(G288:G297)</f>
        <v>240722</v>
      </c>
      <c r="H285" s="23">
        <f>SUM(H288:H297)</f>
        <v>472806.32</v>
      </c>
      <c r="I285" s="207">
        <f t="shared" si="11"/>
        <v>1.9641176128480156</v>
      </c>
      <c r="J285" s="207">
        <f>H285/$H$1431</f>
        <v>0.007058759112333665</v>
      </c>
    </row>
    <row r="286" spans="1:10" ht="12.75">
      <c r="A286" s="147">
        <f t="shared" si="10"/>
        <v>212</v>
      </c>
      <c r="B286" s="15"/>
      <c r="C286" s="79" t="s">
        <v>15</v>
      </c>
      <c r="D286" s="23"/>
      <c r="E286" s="96"/>
      <c r="F286" s="140"/>
      <c r="G286" s="140"/>
      <c r="H286" s="140"/>
      <c r="I286" s="207"/>
      <c r="J286" s="207"/>
    </row>
    <row r="287" spans="1:10" ht="12.75">
      <c r="A287" s="147">
        <f t="shared" si="10"/>
        <v>213</v>
      </c>
      <c r="B287" s="15"/>
      <c r="C287" s="79" t="s">
        <v>335</v>
      </c>
      <c r="D287" s="23"/>
      <c r="E287" s="96"/>
      <c r="F287" s="23"/>
      <c r="G287" s="140"/>
      <c r="H287" s="140"/>
      <c r="I287" s="207"/>
      <c r="J287" s="207"/>
    </row>
    <row r="288" spans="1:10" ht="12.75">
      <c r="A288" s="147">
        <f t="shared" si="10"/>
        <v>214</v>
      </c>
      <c r="B288" s="4"/>
      <c r="C288" s="101" t="s">
        <v>336</v>
      </c>
      <c r="D288" s="25"/>
      <c r="E288" s="46"/>
      <c r="F288" s="28">
        <v>113172</v>
      </c>
      <c r="G288" s="131">
        <v>113172</v>
      </c>
      <c r="H288" s="131">
        <v>0</v>
      </c>
      <c r="I288" s="207">
        <f t="shared" si="11"/>
        <v>0</v>
      </c>
      <c r="J288" s="207">
        <f>H288/$H$1431</f>
        <v>0</v>
      </c>
    </row>
    <row r="289" spans="1:10" ht="12.75">
      <c r="A289" s="147">
        <f t="shared" si="10"/>
        <v>215</v>
      </c>
      <c r="B289" s="4"/>
      <c r="C289" s="101" t="s">
        <v>337</v>
      </c>
      <c r="D289" s="25"/>
      <c r="E289" s="46"/>
      <c r="F289" s="28">
        <v>127550</v>
      </c>
      <c r="G289" s="131">
        <v>127550</v>
      </c>
      <c r="H289" s="131">
        <v>310000</v>
      </c>
      <c r="I289" s="207">
        <f t="shared" si="11"/>
        <v>2.430419443355547</v>
      </c>
      <c r="J289" s="207">
        <f>H289/$H$1431</f>
        <v>0.0046281431365457135</v>
      </c>
    </row>
    <row r="290" spans="1:10" ht="12.75">
      <c r="A290" s="147">
        <f t="shared" si="10"/>
        <v>216</v>
      </c>
      <c r="B290" s="4"/>
      <c r="C290" s="177" t="s">
        <v>485</v>
      </c>
      <c r="D290" s="25"/>
      <c r="E290" s="46"/>
      <c r="F290" s="28"/>
      <c r="G290" s="131"/>
      <c r="H290" s="131"/>
      <c r="I290" s="207"/>
      <c r="J290" s="207"/>
    </row>
    <row r="291" spans="1:10" ht="12.75">
      <c r="A291" s="147">
        <f t="shared" si="10"/>
        <v>217</v>
      </c>
      <c r="B291" s="4"/>
      <c r="C291" s="177" t="s">
        <v>486</v>
      </c>
      <c r="D291" s="25"/>
      <c r="E291" s="46"/>
      <c r="F291" s="28"/>
      <c r="G291" s="131"/>
      <c r="H291" s="131"/>
      <c r="I291" s="207"/>
      <c r="J291" s="207"/>
    </row>
    <row r="292" spans="1:10" ht="12.75">
      <c r="A292" s="147">
        <f t="shared" si="10"/>
        <v>218</v>
      </c>
      <c r="B292" s="4"/>
      <c r="C292" s="177" t="s">
        <v>487</v>
      </c>
      <c r="D292" s="25"/>
      <c r="E292" s="46"/>
      <c r="F292" s="28"/>
      <c r="G292" s="131"/>
      <c r="H292" s="131"/>
      <c r="I292" s="207"/>
      <c r="J292" s="207"/>
    </row>
    <row r="293" spans="1:10" ht="12.75">
      <c r="A293" s="147">
        <f t="shared" si="10"/>
        <v>219</v>
      </c>
      <c r="B293" s="4"/>
      <c r="C293" s="177" t="s">
        <v>488</v>
      </c>
      <c r="D293" s="25"/>
      <c r="E293" s="46"/>
      <c r="F293" s="28"/>
      <c r="G293" s="131"/>
      <c r="H293" s="131"/>
      <c r="I293" s="207"/>
      <c r="J293" s="207"/>
    </row>
    <row r="294" spans="1:10" ht="12.75">
      <c r="A294" s="147">
        <f t="shared" si="10"/>
        <v>220</v>
      </c>
      <c r="B294" s="4"/>
      <c r="C294" s="177" t="s">
        <v>489</v>
      </c>
      <c r="D294" s="25"/>
      <c r="E294" s="46"/>
      <c r="F294" s="28"/>
      <c r="G294" s="131"/>
      <c r="H294" s="131"/>
      <c r="I294" s="207"/>
      <c r="J294" s="207"/>
    </row>
    <row r="295" spans="1:10" ht="12.75">
      <c r="A295" s="147">
        <f t="shared" si="10"/>
        <v>221</v>
      </c>
      <c r="B295" s="4"/>
      <c r="C295" s="177" t="s">
        <v>533</v>
      </c>
      <c r="D295" s="25"/>
      <c r="E295" s="46"/>
      <c r="F295" s="28">
        <v>160000</v>
      </c>
      <c r="G295" s="131">
        <v>0</v>
      </c>
      <c r="H295" s="131">
        <v>160000</v>
      </c>
      <c r="I295" s="207"/>
      <c r="J295" s="207">
        <f>H295/$H$1431</f>
        <v>0.0023887190382171426</v>
      </c>
    </row>
    <row r="296" spans="1:10" ht="12.75">
      <c r="A296" s="147">
        <f t="shared" si="10"/>
        <v>222</v>
      </c>
      <c r="B296" s="4"/>
      <c r="C296" s="177" t="s">
        <v>655</v>
      </c>
      <c r="D296" s="25"/>
      <c r="E296" s="46"/>
      <c r="F296" s="28"/>
      <c r="G296" s="131"/>
      <c r="H296" s="131"/>
      <c r="I296" s="207"/>
      <c r="J296" s="207"/>
    </row>
    <row r="297" spans="1:10" ht="12.75">
      <c r="A297" s="147">
        <f t="shared" si="10"/>
        <v>223</v>
      </c>
      <c r="B297" s="4"/>
      <c r="C297" s="177" t="s">
        <v>656</v>
      </c>
      <c r="D297" s="25"/>
      <c r="E297" s="46"/>
      <c r="F297" s="28">
        <v>0</v>
      </c>
      <c r="G297" s="131">
        <v>0</v>
      </c>
      <c r="H297" s="131">
        <v>2806.32</v>
      </c>
      <c r="I297" s="207"/>
      <c r="J297" s="207">
        <f>H297/$H$1431</f>
        <v>4.189693757080957E-05</v>
      </c>
    </row>
    <row r="298" spans="1:10" ht="12.75">
      <c r="A298" s="147">
        <f t="shared" si="10"/>
        <v>224</v>
      </c>
      <c r="B298" s="4">
        <v>6060</v>
      </c>
      <c r="C298" s="177" t="s">
        <v>329</v>
      </c>
      <c r="D298" s="25"/>
      <c r="E298" s="46"/>
      <c r="F298" s="28"/>
      <c r="G298" s="131"/>
      <c r="H298" s="131"/>
      <c r="I298" s="207"/>
      <c r="J298" s="207"/>
    </row>
    <row r="299" spans="1:10" ht="12.75">
      <c r="A299" s="147">
        <f t="shared" si="10"/>
        <v>225</v>
      </c>
      <c r="B299" s="4"/>
      <c r="C299" s="177" t="s">
        <v>490</v>
      </c>
      <c r="D299" s="25"/>
      <c r="E299" s="46"/>
      <c r="F299" s="28">
        <v>1957041</v>
      </c>
      <c r="G299" s="131">
        <v>1957040.04</v>
      </c>
      <c r="H299" s="131">
        <v>0</v>
      </c>
      <c r="I299" s="207">
        <f t="shared" si="11"/>
        <v>0</v>
      </c>
      <c r="J299" s="207">
        <f>H299/$H$1431</f>
        <v>0</v>
      </c>
    </row>
    <row r="300" spans="1:10" s="70" customFormat="1" ht="12.75">
      <c r="A300" s="147">
        <f t="shared" si="10"/>
        <v>226</v>
      </c>
      <c r="B300" s="56">
        <v>710</v>
      </c>
      <c r="C300" s="78" t="s">
        <v>96</v>
      </c>
      <c r="D300" s="58"/>
      <c r="E300" s="59" t="e">
        <f>E301+E314+E323</f>
        <v>#REF!</v>
      </c>
      <c r="F300" s="58">
        <f>+F301+F314+F323</f>
        <v>1035547</v>
      </c>
      <c r="G300" s="58">
        <f>+G301+G314+G323</f>
        <v>1035547</v>
      </c>
      <c r="H300" s="58">
        <f>+H301+H314+H323</f>
        <v>2363202</v>
      </c>
      <c r="I300" s="207">
        <f t="shared" si="11"/>
        <v>2.2820808712690006</v>
      </c>
      <c r="J300" s="207">
        <f>H300/$H$1431</f>
        <v>0.03528141005345517</v>
      </c>
    </row>
    <row r="301" spans="1:10" ht="12.75">
      <c r="A301" s="147">
        <f t="shared" si="10"/>
        <v>227</v>
      </c>
      <c r="B301" s="11">
        <v>71004</v>
      </c>
      <c r="C301" s="68" t="s">
        <v>97</v>
      </c>
      <c r="D301" s="25"/>
      <c r="E301" s="44">
        <f>E302</f>
        <v>270000</v>
      </c>
      <c r="F301" s="26">
        <f>F302</f>
        <v>634716</v>
      </c>
      <c r="G301" s="26">
        <f>G302</f>
        <v>634716</v>
      </c>
      <c r="H301" s="26">
        <f>H302</f>
        <v>805202</v>
      </c>
      <c r="I301" s="207">
        <f t="shared" si="11"/>
        <v>1.268602020431185</v>
      </c>
      <c r="J301" s="207">
        <f>H301/$H$1431</f>
        <v>0.012021258418815748</v>
      </c>
    </row>
    <row r="302" spans="1:10" ht="12.75">
      <c r="A302" s="147">
        <f t="shared" si="10"/>
        <v>228</v>
      </c>
      <c r="B302" s="4">
        <v>4300</v>
      </c>
      <c r="C302" s="79" t="s">
        <v>130</v>
      </c>
      <c r="D302" s="25"/>
      <c r="E302" s="46">
        <v>270000</v>
      </c>
      <c r="F302" s="131">
        <f>SUM(F304:F310)</f>
        <v>634716</v>
      </c>
      <c r="G302" s="131">
        <f>SUM(G304:G310)</f>
        <v>634716</v>
      </c>
      <c r="H302" s="131">
        <f>SUM(H304:H310)</f>
        <v>805202</v>
      </c>
      <c r="I302" s="207">
        <f t="shared" si="11"/>
        <v>1.268602020431185</v>
      </c>
      <c r="J302" s="207">
        <f>H302/$H$1431</f>
        <v>0.012021258418815748</v>
      </c>
    </row>
    <row r="303" spans="1:10" ht="12.75">
      <c r="A303" s="147">
        <f t="shared" si="10"/>
        <v>229</v>
      </c>
      <c r="B303" s="4"/>
      <c r="C303" s="79" t="s">
        <v>15</v>
      </c>
      <c r="D303" s="25"/>
      <c r="E303" s="46"/>
      <c r="F303" s="131"/>
      <c r="G303" s="131"/>
      <c r="H303" s="131"/>
      <c r="I303" s="207"/>
      <c r="J303" s="207"/>
    </row>
    <row r="304" spans="1:10" ht="12.75">
      <c r="A304" s="147">
        <f t="shared" si="10"/>
        <v>230</v>
      </c>
      <c r="B304" s="4"/>
      <c r="C304" s="79" t="s">
        <v>175</v>
      </c>
      <c r="D304" s="25"/>
      <c r="E304" s="46"/>
      <c r="F304" s="131">
        <v>99565.78</v>
      </c>
      <c r="G304" s="131">
        <v>99565.78</v>
      </c>
      <c r="H304" s="131">
        <v>330000</v>
      </c>
      <c r="I304" s="207">
        <f t="shared" si="11"/>
        <v>3.314391751864948</v>
      </c>
      <c r="J304" s="207">
        <f>H304/$H$1431</f>
        <v>0.004926733016322856</v>
      </c>
    </row>
    <row r="305" spans="1:10" ht="12.75">
      <c r="A305" s="147">
        <f t="shared" si="10"/>
        <v>231</v>
      </c>
      <c r="B305" s="4"/>
      <c r="C305" s="79" t="s">
        <v>195</v>
      </c>
      <c r="D305" s="25"/>
      <c r="E305" s="46"/>
      <c r="F305" s="131">
        <v>191418</v>
      </c>
      <c r="G305" s="131">
        <v>191418</v>
      </c>
      <c r="H305" s="131">
        <v>210000</v>
      </c>
      <c r="I305" s="207">
        <f t="shared" si="11"/>
        <v>1.0970755101401122</v>
      </c>
      <c r="J305" s="207">
        <f aca="true" t="shared" si="12" ref="J305:J379">H305/$H$1431</f>
        <v>0.0031351937376599996</v>
      </c>
    </row>
    <row r="306" spans="1:10" ht="12.75">
      <c r="A306" s="147">
        <f t="shared" si="10"/>
        <v>232</v>
      </c>
      <c r="B306" s="4"/>
      <c r="C306" s="79" t="s">
        <v>204</v>
      </c>
      <c r="D306" s="25"/>
      <c r="E306" s="46"/>
      <c r="F306" s="131">
        <v>20000</v>
      </c>
      <c r="G306" s="131">
        <v>20000</v>
      </c>
      <c r="H306" s="131">
        <v>50000</v>
      </c>
      <c r="I306" s="207">
        <f t="shared" si="11"/>
        <v>2.5</v>
      </c>
      <c r="J306" s="207">
        <f t="shared" si="12"/>
        <v>0.000746474699442857</v>
      </c>
    </row>
    <row r="307" spans="1:10" ht="12.75">
      <c r="A307" s="147">
        <f t="shared" si="10"/>
        <v>233</v>
      </c>
      <c r="B307" s="4"/>
      <c r="C307" s="191" t="s">
        <v>378</v>
      </c>
      <c r="D307" s="25"/>
      <c r="E307" s="46"/>
      <c r="F307" s="28">
        <v>27000</v>
      </c>
      <c r="G307" s="131">
        <v>27000</v>
      </c>
      <c r="H307" s="131">
        <v>70000</v>
      </c>
      <c r="I307" s="207">
        <f t="shared" si="11"/>
        <v>2.5925925925925926</v>
      </c>
      <c r="J307" s="207">
        <f t="shared" si="12"/>
        <v>0.00104506457922</v>
      </c>
    </row>
    <row r="308" spans="1:10" ht="12.75">
      <c r="A308" s="147">
        <f t="shared" si="10"/>
        <v>234</v>
      </c>
      <c r="B308" s="4"/>
      <c r="C308" s="101" t="s">
        <v>364</v>
      </c>
      <c r="D308" s="25"/>
      <c r="E308" s="46"/>
      <c r="F308" s="28">
        <v>198932.22</v>
      </c>
      <c r="G308" s="131">
        <v>198932.22</v>
      </c>
      <c r="H308" s="131">
        <v>139202</v>
      </c>
      <c r="I308" s="207">
        <f t="shared" si="11"/>
        <v>0.6997458732426552</v>
      </c>
      <c r="J308" s="207">
        <f t="shared" si="12"/>
        <v>0.0020782154222368917</v>
      </c>
    </row>
    <row r="309" spans="1:10" ht="12.75">
      <c r="A309" s="147">
        <f t="shared" si="10"/>
        <v>235</v>
      </c>
      <c r="B309" s="4"/>
      <c r="C309" s="101" t="s">
        <v>491</v>
      </c>
      <c r="D309" s="25"/>
      <c r="E309" s="46"/>
      <c r="F309" s="28">
        <v>97800</v>
      </c>
      <c r="G309" s="131">
        <v>97800</v>
      </c>
      <c r="H309" s="131">
        <v>0</v>
      </c>
      <c r="I309" s="207">
        <f t="shared" si="11"/>
        <v>0</v>
      </c>
      <c r="J309" s="207">
        <f t="shared" si="12"/>
        <v>0</v>
      </c>
    </row>
    <row r="310" spans="1:10" ht="12.75">
      <c r="A310" s="147">
        <f t="shared" si="10"/>
        <v>236</v>
      </c>
      <c r="B310" s="4"/>
      <c r="C310" s="101" t="s">
        <v>610</v>
      </c>
      <c r="D310" s="25"/>
      <c r="E310" s="46"/>
      <c r="F310" s="28">
        <v>0</v>
      </c>
      <c r="G310" s="131">
        <v>0</v>
      </c>
      <c r="H310" s="131">
        <v>6000</v>
      </c>
      <c r="I310" s="207"/>
      <c r="J310" s="207"/>
    </row>
    <row r="311" spans="1:10" ht="12.75">
      <c r="A311" s="147"/>
      <c r="B311" s="4"/>
      <c r="D311" s="25"/>
      <c r="E311" s="46"/>
      <c r="F311" s="28"/>
      <c r="G311" s="131"/>
      <c r="H311" s="131"/>
      <c r="I311" s="207"/>
      <c r="J311" s="207"/>
    </row>
    <row r="312" spans="1:10" ht="12.75">
      <c r="A312" s="147"/>
      <c r="B312" s="4"/>
      <c r="D312" s="25"/>
      <c r="E312" s="46"/>
      <c r="F312" s="28"/>
      <c r="G312" s="131"/>
      <c r="H312" s="131"/>
      <c r="I312" s="207"/>
      <c r="J312" s="207"/>
    </row>
    <row r="313" spans="1:10" ht="12.75">
      <c r="A313" s="147"/>
      <c r="B313" s="4"/>
      <c r="D313" s="25"/>
      <c r="E313" s="46"/>
      <c r="F313" s="28"/>
      <c r="G313" s="131"/>
      <c r="H313" s="131"/>
      <c r="I313" s="207"/>
      <c r="J313" s="207"/>
    </row>
    <row r="314" spans="1:10" ht="12.75">
      <c r="A314" s="147">
        <f>A310+1</f>
        <v>237</v>
      </c>
      <c r="B314" s="11">
        <v>71014</v>
      </c>
      <c r="C314" s="68" t="s">
        <v>35</v>
      </c>
      <c r="D314" s="25"/>
      <c r="E314" s="44">
        <f>E315</f>
        <v>172000</v>
      </c>
      <c r="F314" s="26">
        <f>F315</f>
        <v>58000</v>
      </c>
      <c r="G314" s="26">
        <f>G315</f>
        <v>58000</v>
      </c>
      <c r="H314" s="26">
        <f>H315</f>
        <v>58000</v>
      </c>
      <c r="I314" s="207">
        <f t="shared" si="11"/>
        <v>1</v>
      </c>
      <c r="J314" s="207">
        <f t="shared" si="12"/>
        <v>0.0008659106513537141</v>
      </c>
    </row>
    <row r="315" spans="1:10" ht="12.75">
      <c r="A315" s="147">
        <f t="shared" si="10"/>
        <v>238</v>
      </c>
      <c r="B315" s="4">
        <v>4300</v>
      </c>
      <c r="C315" s="79" t="s">
        <v>130</v>
      </c>
      <c r="D315" s="25"/>
      <c r="E315" s="47">
        <f>SUM(E317:E320)</f>
        <v>172000</v>
      </c>
      <c r="F315" s="23">
        <f>SUM(F317:F322)</f>
        <v>58000</v>
      </c>
      <c r="G315" s="23">
        <f>SUM(G317:G322)</f>
        <v>58000</v>
      </c>
      <c r="H315" s="23">
        <f>SUM(H317:H322)</f>
        <v>58000</v>
      </c>
      <c r="I315" s="207">
        <f t="shared" si="11"/>
        <v>1</v>
      </c>
      <c r="J315" s="207">
        <f t="shared" si="12"/>
        <v>0.0008659106513537141</v>
      </c>
    </row>
    <row r="316" spans="1:10" ht="12.75">
      <c r="A316" s="147">
        <f t="shared" si="10"/>
        <v>239</v>
      </c>
      <c r="B316" s="4"/>
      <c r="C316" s="79" t="s">
        <v>15</v>
      </c>
      <c r="D316" s="25"/>
      <c r="E316" s="46"/>
      <c r="F316" s="131"/>
      <c r="G316" s="131"/>
      <c r="H316" s="131"/>
      <c r="I316" s="207"/>
      <c r="J316" s="207"/>
    </row>
    <row r="317" spans="1:10" ht="12.75">
      <c r="A317" s="147">
        <f t="shared" si="10"/>
        <v>240</v>
      </c>
      <c r="B317" s="4"/>
      <c r="C317" s="79" t="s">
        <v>36</v>
      </c>
      <c r="D317" s="25"/>
      <c r="E317" s="46">
        <v>80000</v>
      </c>
      <c r="F317" s="131">
        <v>29500</v>
      </c>
      <c r="G317" s="131">
        <v>29500</v>
      </c>
      <c r="H317" s="131">
        <v>35000</v>
      </c>
      <c r="I317" s="207">
        <f t="shared" si="11"/>
        <v>1.1864406779661016</v>
      </c>
      <c r="J317" s="207">
        <f t="shared" si="12"/>
        <v>0.00052253228961</v>
      </c>
    </row>
    <row r="318" spans="1:10" ht="12.75">
      <c r="A318" s="147">
        <f aca="true" t="shared" si="13" ref="A318:A382">A317+1</f>
        <v>241</v>
      </c>
      <c r="B318" s="4"/>
      <c r="C318" s="79" t="s">
        <v>37</v>
      </c>
      <c r="D318" s="25"/>
      <c r="E318" s="46">
        <v>3000</v>
      </c>
      <c r="F318" s="131">
        <v>2000</v>
      </c>
      <c r="G318" s="131">
        <v>2000</v>
      </c>
      <c r="H318" s="131">
        <v>2000</v>
      </c>
      <c r="I318" s="207">
        <f t="shared" si="11"/>
        <v>1</v>
      </c>
      <c r="J318" s="207">
        <f t="shared" si="12"/>
        <v>2.9858987977714282E-05</v>
      </c>
    </row>
    <row r="319" spans="1:10" ht="12.75">
      <c r="A319" s="147">
        <f t="shared" si="13"/>
        <v>242</v>
      </c>
      <c r="B319" s="4"/>
      <c r="C319" s="79" t="s">
        <v>146</v>
      </c>
      <c r="D319" s="25"/>
      <c r="E319" s="46">
        <v>80000</v>
      </c>
      <c r="F319" s="131">
        <v>8900</v>
      </c>
      <c r="G319" s="131">
        <v>8900</v>
      </c>
      <c r="H319" s="131">
        <v>4000</v>
      </c>
      <c r="I319" s="207">
        <f t="shared" si="11"/>
        <v>0.449438202247191</v>
      </c>
      <c r="J319" s="207">
        <f t="shared" si="12"/>
        <v>5.9717975955428565E-05</v>
      </c>
    </row>
    <row r="320" spans="1:10" ht="12.75">
      <c r="A320" s="147">
        <f t="shared" si="13"/>
        <v>243</v>
      </c>
      <c r="B320" s="4"/>
      <c r="C320" s="79" t="s">
        <v>19</v>
      </c>
      <c r="D320" s="25"/>
      <c r="E320" s="46">
        <f>3000+3500+2500</f>
        <v>9000</v>
      </c>
      <c r="F320" s="131">
        <v>5600</v>
      </c>
      <c r="G320" s="131">
        <v>5600</v>
      </c>
      <c r="H320" s="131">
        <v>5000</v>
      </c>
      <c r="I320" s="207">
        <f t="shared" si="11"/>
        <v>0.8928571428571429</v>
      </c>
      <c r="J320" s="207">
        <f t="shared" si="12"/>
        <v>7.464746994428571E-05</v>
      </c>
    </row>
    <row r="321" spans="1:10" ht="12.75">
      <c r="A321" s="147">
        <f t="shared" si="13"/>
        <v>244</v>
      </c>
      <c r="B321" s="4"/>
      <c r="C321" s="79" t="s">
        <v>185</v>
      </c>
      <c r="D321" s="25"/>
      <c r="E321" s="46"/>
      <c r="F321" s="131">
        <v>5000</v>
      </c>
      <c r="G321" s="131">
        <v>5000</v>
      </c>
      <c r="H321" s="131">
        <v>5000</v>
      </c>
      <c r="I321" s="207">
        <f t="shared" si="11"/>
        <v>1</v>
      </c>
      <c r="J321" s="207">
        <f t="shared" si="12"/>
        <v>7.464746994428571E-05</v>
      </c>
    </row>
    <row r="322" spans="1:10" ht="14.25" customHeight="1">
      <c r="A322" s="147">
        <f t="shared" si="13"/>
        <v>245</v>
      </c>
      <c r="B322" s="4"/>
      <c r="C322" s="79" t="s">
        <v>186</v>
      </c>
      <c r="D322" s="25"/>
      <c r="E322" s="46"/>
      <c r="F322" s="131">
        <v>7000</v>
      </c>
      <c r="G322" s="131">
        <v>7000</v>
      </c>
      <c r="H322" s="131">
        <v>7000</v>
      </c>
      <c r="I322" s="207">
        <f t="shared" si="11"/>
        <v>1</v>
      </c>
      <c r="J322" s="207">
        <f t="shared" si="12"/>
        <v>0.00010450645792199998</v>
      </c>
    </row>
    <row r="323" spans="1:10" s="73" customFormat="1" ht="12.75">
      <c r="A323" s="147">
        <f t="shared" si="13"/>
        <v>246</v>
      </c>
      <c r="B323" s="62">
        <v>71035</v>
      </c>
      <c r="C323" s="68" t="s">
        <v>166</v>
      </c>
      <c r="D323" s="63"/>
      <c r="E323" s="72" t="e">
        <f>#REF!</f>
        <v>#REF!</v>
      </c>
      <c r="F323" s="138">
        <f>F324</f>
        <v>342831</v>
      </c>
      <c r="G323" s="138">
        <f>G324</f>
        <v>342831</v>
      </c>
      <c r="H323" s="138">
        <f>H324</f>
        <v>1500000</v>
      </c>
      <c r="I323" s="207">
        <f t="shared" si="11"/>
        <v>4.3753336191884635</v>
      </c>
      <c r="J323" s="207">
        <f t="shared" si="12"/>
        <v>0.022394240983285713</v>
      </c>
    </row>
    <row r="324" spans="1:10" ht="12.75">
      <c r="A324" s="147">
        <f t="shared" si="13"/>
        <v>247</v>
      </c>
      <c r="B324" s="4">
        <v>6050</v>
      </c>
      <c r="C324" s="79" t="s">
        <v>182</v>
      </c>
      <c r="D324" s="25"/>
      <c r="E324" s="46"/>
      <c r="F324" s="131">
        <f>SUM(F326:F328)</f>
        <v>342831</v>
      </c>
      <c r="G324" s="131">
        <f>SUM(G326:G328)</f>
        <v>342831</v>
      </c>
      <c r="H324" s="131">
        <f>SUM(H326:H328)</f>
        <v>1500000</v>
      </c>
      <c r="I324" s="207">
        <f t="shared" si="11"/>
        <v>4.3753336191884635</v>
      </c>
      <c r="J324" s="207">
        <f t="shared" si="12"/>
        <v>0.022394240983285713</v>
      </c>
    </row>
    <row r="325" spans="1:10" ht="12.75">
      <c r="A325" s="147">
        <f t="shared" si="13"/>
        <v>248</v>
      </c>
      <c r="B325" s="4"/>
      <c r="C325" s="79" t="s">
        <v>15</v>
      </c>
      <c r="D325" s="25"/>
      <c r="E325" s="46"/>
      <c r="F325" s="131"/>
      <c r="G325" s="131"/>
      <c r="H325" s="131"/>
      <c r="I325" s="207"/>
      <c r="J325" s="207"/>
    </row>
    <row r="326" spans="1:10" ht="12.75">
      <c r="A326" s="147">
        <f t="shared" si="13"/>
        <v>249</v>
      </c>
      <c r="B326" s="4"/>
      <c r="C326" s="165" t="s">
        <v>442</v>
      </c>
      <c r="D326" s="25"/>
      <c r="E326" s="46"/>
      <c r="F326" s="131">
        <v>300000</v>
      </c>
      <c r="G326" s="131">
        <v>300000</v>
      </c>
      <c r="H326" s="131">
        <v>1500000</v>
      </c>
      <c r="I326" s="207">
        <f t="shared" si="11"/>
        <v>5</v>
      </c>
      <c r="J326" s="207">
        <f t="shared" si="12"/>
        <v>0.022394240983285713</v>
      </c>
    </row>
    <row r="327" spans="1:10" ht="12.75">
      <c r="A327" s="147">
        <f t="shared" si="13"/>
        <v>250</v>
      </c>
      <c r="B327" s="4"/>
      <c r="C327" s="165" t="s">
        <v>338</v>
      </c>
      <c r="D327" s="25"/>
      <c r="E327" s="46"/>
      <c r="F327" s="131"/>
      <c r="G327" s="131"/>
      <c r="H327" s="131"/>
      <c r="I327" s="207"/>
      <c r="J327" s="207"/>
    </row>
    <row r="328" spans="1:10" ht="12.75">
      <c r="A328" s="147">
        <f t="shared" si="13"/>
        <v>251</v>
      </c>
      <c r="B328" s="4"/>
      <c r="C328" s="165" t="s">
        <v>443</v>
      </c>
      <c r="D328" s="25"/>
      <c r="E328" s="46"/>
      <c r="F328" s="131">
        <v>42831</v>
      </c>
      <c r="G328" s="131">
        <v>42831</v>
      </c>
      <c r="H328" s="131">
        <v>0</v>
      </c>
      <c r="I328" s="207">
        <f t="shared" si="11"/>
        <v>0</v>
      </c>
      <c r="J328" s="207">
        <f t="shared" si="12"/>
        <v>0</v>
      </c>
    </row>
    <row r="329" spans="1:10" s="70" customFormat="1" ht="12.75">
      <c r="A329" s="147">
        <f t="shared" si="13"/>
        <v>252</v>
      </c>
      <c r="B329" s="56">
        <v>750</v>
      </c>
      <c r="C329" s="78" t="s">
        <v>98</v>
      </c>
      <c r="D329" s="58"/>
      <c r="E329" s="71" t="e">
        <f>E330+E344+E353+E460+#REF!+E491</f>
        <v>#REF!</v>
      </c>
      <c r="F329" s="141">
        <f>F330+F344+F353+F460+F463+F491</f>
        <v>5739685.65</v>
      </c>
      <c r="G329" s="141">
        <f>G330+G344+G353+G460+G463+G491</f>
        <v>5737916.49</v>
      </c>
      <c r="H329" s="141">
        <f>H330+H344+H353+H460+H463+H491</f>
        <v>6622850</v>
      </c>
      <c r="I329" s="207">
        <f aca="true" t="shared" si="14" ref="I329:I392">H329/G329</f>
        <v>1.154225581976011</v>
      </c>
      <c r="J329" s="207">
        <f t="shared" si="12"/>
        <v>0.09887579926410252</v>
      </c>
    </row>
    <row r="330" spans="1:10" s="73" customFormat="1" ht="12.75">
      <c r="A330" s="147">
        <f t="shared" si="13"/>
        <v>253</v>
      </c>
      <c r="B330" s="62">
        <v>75011</v>
      </c>
      <c r="C330" s="68" t="s">
        <v>58</v>
      </c>
      <c r="D330" s="63"/>
      <c r="E330" s="72">
        <f>SUM(E332:E341)</f>
        <v>133800</v>
      </c>
      <c r="F330" s="138">
        <f>F331+F332+F336+F337+F338+F339+F340+F341+F343</f>
        <v>232178</v>
      </c>
      <c r="G330" s="138">
        <f>G331+G332+G336+G337+G338+G339+G340+G341+G343</f>
        <v>232178</v>
      </c>
      <c r="H330" s="138">
        <f>H331+H332+H336+H337+H338+H339+H340+H341+H343</f>
        <v>263000</v>
      </c>
      <c r="I330" s="207">
        <f t="shared" si="14"/>
        <v>1.1327515957584267</v>
      </c>
      <c r="J330" s="207">
        <f t="shared" si="12"/>
        <v>0.003926456919069428</v>
      </c>
    </row>
    <row r="331" spans="1:10" s="73" customFormat="1" ht="12.75">
      <c r="A331" s="147">
        <f t="shared" si="13"/>
        <v>254</v>
      </c>
      <c r="B331" s="85">
        <v>3020</v>
      </c>
      <c r="C331" s="79" t="s">
        <v>218</v>
      </c>
      <c r="D331" s="63"/>
      <c r="E331" s="72"/>
      <c r="F331" s="136">
        <v>0</v>
      </c>
      <c r="G331" s="136">
        <v>0</v>
      </c>
      <c r="H331" s="136">
        <v>2000</v>
      </c>
      <c r="I331" s="207"/>
      <c r="J331" s="207">
        <f t="shared" si="12"/>
        <v>2.9858987977714282E-05</v>
      </c>
    </row>
    <row r="332" spans="1:10" ht="12.75">
      <c r="A332" s="147">
        <f t="shared" si="13"/>
        <v>255</v>
      </c>
      <c r="B332" s="15">
        <v>4010</v>
      </c>
      <c r="C332" s="117" t="s">
        <v>27</v>
      </c>
      <c r="D332" s="25"/>
      <c r="E332" s="46">
        <v>96400</v>
      </c>
      <c r="F332" s="131">
        <f>SUM(F334:F335)</f>
        <v>177000</v>
      </c>
      <c r="G332" s="131">
        <f>SUM(G334:G335)</f>
        <v>177000</v>
      </c>
      <c r="H332" s="131">
        <f>SUM(H334:H335)</f>
        <v>200000</v>
      </c>
      <c r="I332" s="207">
        <f t="shared" si="14"/>
        <v>1.1299435028248588</v>
      </c>
      <c r="J332" s="207">
        <f t="shared" si="12"/>
        <v>0.002985898797771428</v>
      </c>
    </row>
    <row r="333" spans="1:10" ht="12.75">
      <c r="A333" s="147">
        <f t="shared" si="13"/>
        <v>256</v>
      </c>
      <c r="B333" s="15"/>
      <c r="C333" s="117" t="s">
        <v>15</v>
      </c>
      <c r="D333" s="25"/>
      <c r="E333" s="46"/>
      <c r="F333" s="131"/>
      <c r="G333" s="131"/>
      <c r="H333" s="131"/>
      <c r="I333" s="207"/>
      <c r="J333" s="207"/>
    </row>
    <row r="334" spans="1:10" ht="12.75">
      <c r="A334" s="147">
        <f t="shared" si="13"/>
        <v>257</v>
      </c>
      <c r="B334" s="15"/>
      <c r="C334" s="117" t="s">
        <v>690</v>
      </c>
      <c r="D334" s="25"/>
      <c r="E334" s="46"/>
      <c r="F334" s="131">
        <v>177000</v>
      </c>
      <c r="G334" s="131">
        <v>177000</v>
      </c>
      <c r="H334" s="131">
        <f>200000-H335</f>
        <v>170000</v>
      </c>
      <c r="I334" s="207">
        <f t="shared" si="14"/>
        <v>0.96045197740113</v>
      </c>
      <c r="J334" s="207">
        <f>H334/$H$1431</f>
        <v>0.002538013978105714</v>
      </c>
    </row>
    <row r="335" spans="1:10" ht="12.75">
      <c r="A335" s="147">
        <f t="shared" si="13"/>
        <v>258</v>
      </c>
      <c r="B335" s="15"/>
      <c r="C335" s="117" t="s">
        <v>691</v>
      </c>
      <c r="D335" s="25"/>
      <c r="E335" s="46"/>
      <c r="F335" s="131">
        <v>0</v>
      </c>
      <c r="G335" s="131">
        <v>0</v>
      </c>
      <c r="H335" s="131">
        <v>30000</v>
      </c>
      <c r="I335" s="207"/>
      <c r="J335" s="207">
        <f>H335/$H$1431</f>
        <v>0.0004478848196657142</v>
      </c>
    </row>
    <row r="336" spans="1:10" ht="12.75">
      <c r="A336" s="147">
        <f t="shared" si="13"/>
        <v>259</v>
      </c>
      <c r="B336" s="15">
        <v>4040</v>
      </c>
      <c r="C336" s="117" t="s">
        <v>28</v>
      </c>
      <c r="D336" s="25"/>
      <c r="E336" s="46">
        <v>7800</v>
      </c>
      <c r="F336" s="131">
        <v>8408</v>
      </c>
      <c r="G336" s="131">
        <v>8408</v>
      </c>
      <c r="H336" s="131">
        <v>13000</v>
      </c>
      <c r="I336" s="207">
        <f t="shared" si="14"/>
        <v>1.5461465271170314</v>
      </c>
      <c r="J336" s="207">
        <f t="shared" si="12"/>
        <v>0.00019408342185514284</v>
      </c>
    </row>
    <row r="337" spans="1:10" ht="12.75">
      <c r="A337" s="147">
        <f t="shared" si="13"/>
        <v>260</v>
      </c>
      <c r="B337" s="15">
        <v>4110</v>
      </c>
      <c r="C337" s="117" t="s">
        <v>32</v>
      </c>
      <c r="D337" s="25"/>
      <c r="E337" s="46">
        <v>18700</v>
      </c>
      <c r="F337" s="131">
        <v>32000</v>
      </c>
      <c r="G337" s="131">
        <v>32000</v>
      </c>
      <c r="H337" s="131">
        <v>33000</v>
      </c>
      <c r="I337" s="207">
        <f t="shared" si="14"/>
        <v>1.03125</v>
      </c>
      <c r="J337" s="207">
        <f t="shared" si="12"/>
        <v>0.0004926733016322857</v>
      </c>
    </row>
    <row r="338" spans="1:10" ht="12.75">
      <c r="A338" s="147">
        <f t="shared" si="13"/>
        <v>261</v>
      </c>
      <c r="B338" s="15">
        <v>4120</v>
      </c>
      <c r="C338" s="117" t="s">
        <v>33</v>
      </c>
      <c r="D338" s="25"/>
      <c r="E338" s="46">
        <v>2600</v>
      </c>
      <c r="F338" s="131">
        <v>4600</v>
      </c>
      <c r="G338" s="131">
        <v>4600</v>
      </c>
      <c r="H338" s="131">
        <v>5500</v>
      </c>
      <c r="I338" s="207">
        <f t="shared" si="14"/>
        <v>1.1956521739130435</v>
      </c>
      <c r="J338" s="207">
        <f t="shared" si="12"/>
        <v>8.211221693871427E-05</v>
      </c>
    </row>
    <row r="339" spans="1:10" ht="12.75">
      <c r="A339" s="147">
        <f t="shared" si="13"/>
        <v>262</v>
      </c>
      <c r="B339" s="15">
        <v>4210</v>
      </c>
      <c r="C339" s="117" t="s">
        <v>132</v>
      </c>
      <c r="D339" s="25"/>
      <c r="E339" s="51">
        <v>2000</v>
      </c>
      <c r="F339" s="142">
        <v>5650</v>
      </c>
      <c r="G339" s="142">
        <v>5650</v>
      </c>
      <c r="H339" s="142">
        <f>700+500+300+200+500+500</f>
        <v>2700</v>
      </c>
      <c r="I339" s="207">
        <f t="shared" si="14"/>
        <v>0.4778761061946903</v>
      </c>
      <c r="J339" s="207">
        <f t="shared" si="12"/>
        <v>4.030963376991428E-05</v>
      </c>
    </row>
    <row r="340" spans="1:10" ht="12.75">
      <c r="A340" s="147">
        <f t="shared" si="13"/>
        <v>263</v>
      </c>
      <c r="B340" s="15">
        <v>4300</v>
      </c>
      <c r="C340" s="117" t="s">
        <v>130</v>
      </c>
      <c r="D340" s="25"/>
      <c r="E340" s="46">
        <v>5100</v>
      </c>
      <c r="F340" s="131">
        <v>300</v>
      </c>
      <c r="G340" s="131">
        <v>300</v>
      </c>
      <c r="H340" s="131">
        <f>300+1000+1000+100</f>
        <v>2400</v>
      </c>
      <c r="I340" s="207">
        <f t="shared" si="14"/>
        <v>8</v>
      </c>
      <c r="J340" s="207">
        <f t="shared" si="12"/>
        <v>3.5830785573257135E-05</v>
      </c>
    </row>
    <row r="341" spans="1:10" ht="12.75">
      <c r="A341" s="147">
        <f t="shared" si="13"/>
        <v>264</v>
      </c>
      <c r="B341" s="15">
        <v>4440</v>
      </c>
      <c r="C341" s="117" t="s">
        <v>429</v>
      </c>
      <c r="D341" s="25"/>
      <c r="E341" s="46">
        <v>1200</v>
      </c>
      <c r="F341" s="131">
        <v>2720</v>
      </c>
      <c r="G341" s="131">
        <v>2720</v>
      </c>
      <c r="H341" s="131">
        <v>2800</v>
      </c>
      <c r="I341" s="207">
        <f t="shared" si="14"/>
        <v>1.0294117647058822</v>
      </c>
      <c r="J341" s="207">
        <f t="shared" si="12"/>
        <v>4.180258316879999E-05</v>
      </c>
    </row>
    <row r="342" spans="1:10" ht="12.75">
      <c r="A342" s="147">
        <f t="shared" si="13"/>
        <v>265</v>
      </c>
      <c r="B342" s="15">
        <v>4700</v>
      </c>
      <c r="C342" s="117" t="s">
        <v>297</v>
      </c>
      <c r="D342" s="25"/>
      <c r="E342" s="46"/>
      <c r="F342" s="131"/>
      <c r="G342" s="131"/>
      <c r="H342" s="131"/>
      <c r="I342" s="207"/>
      <c r="J342" s="207"/>
    </row>
    <row r="343" spans="1:10" ht="12.75">
      <c r="A343" s="147">
        <f t="shared" si="13"/>
        <v>266</v>
      </c>
      <c r="B343" s="15"/>
      <c r="C343" s="117" t="s">
        <v>296</v>
      </c>
      <c r="D343" s="25"/>
      <c r="E343" s="46"/>
      <c r="F343" s="131">
        <v>1500</v>
      </c>
      <c r="G343" s="131">
        <v>1500</v>
      </c>
      <c r="H343" s="131">
        <v>1600</v>
      </c>
      <c r="I343" s="207">
        <f t="shared" si="14"/>
        <v>1.0666666666666667</v>
      </c>
      <c r="J343" s="207">
        <f t="shared" si="12"/>
        <v>2.3887190382171427E-05</v>
      </c>
    </row>
    <row r="344" spans="1:10" s="73" customFormat="1" ht="12.75">
      <c r="A344" s="147">
        <f t="shared" si="13"/>
        <v>267</v>
      </c>
      <c r="B344" s="62">
        <v>75022</v>
      </c>
      <c r="C344" s="68" t="s">
        <v>99</v>
      </c>
      <c r="D344" s="63"/>
      <c r="E344" s="72" t="e">
        <f>E345+E346+E347+E349+#REF!</f>
        <v>#REF!</v>
      </c>
      <c r="F344" s="138">
        <f>SUM(F345:F352)</f>
        <v>151000</v>
      </c>
      <c r="G344" s="138">
        <f>SUM(G345:G352)</f>
        <v>151000</v>
      </c>
      <c r="H344" s="138">
        <f>SUM(H345:H352)</f>
        <v>166000</v>
      </c>
      <c r="I344" s="207">
        <f t="shared" si="14"/>
        <v>1.099337748344371</v>
      </c>
      <c r="J344" s="207">
        <f t="shared" si="12"/>
        <v>0.002478296002150285</v>
      </c>
    </row>
    <row r="345" spans="1:10" ht="12.75">
      <c r="A345" s="147">
        <f t="shared" si="13"/>
        <v>268</v>
      </c>
      <c r="B345" s="15">
        <v>3030</v>
      </c>
      <c r="C345" s="117" t="s">
        <v>430</v>
      </c>
      <c r="D345" s="25"/>
      <c r="E345" s="46">
        <v>110000</v>
      </c>
      <c r="F345" s="131">
        <v>129000</v>
      </c>
      <c r="G345" s="131">
        <v>129000</v>
      </c>
      <c r="H345" s="131">
        <v>129000</v>
      </c>
      <c r="I345" s="207">
        <f t="shared" si="14"/>
        <v>1</v>
      </c>
      <c r="J345" s="207">
        <f t="shared" si="12"/>
        <v>0.0019259047245625712</v>
      </c>
    </row>
    <row r="346" spans="1:10" ht="12.75">
      <c r="A346" s="147">
        <f t="shared" si="13"/>
        <v>269</v>
      </c>
      <c r="B346" s="15">
        <v>4210</v>
      </c>
      <c r="C346" s="117" t="s">
        <v>132</v>
      </c>
      <c r="D346" s="25"/>
      <c r="E346" s="46">
        <v>6400</v>
      </c>
      <c r="F346" s="131">
        <v>5000</v>
      </c>
      <c r="G346" s="131">
        <v>5000</v>
      </c>
      <c r="H346" s="131">
        <v>9000</v>
      </c>
      <c r="I346" s="207">
        <f t="shared" si="14"/>
        <v>1.8</v>
      </c>
      <c r="J346" s="207">
        <f t="shared" si="12"/>
        <v>0.00013436544589971427</v>
      </c>
    </row>
    <row r="347" spans="1:10" ht="12.75">
      <c r="A347" s="147">
        <f t="shared" si="13"/>
        <v>270</v>
      </c>
      <c r="B347" s="15">
        <v>4300</v>
      </c>
      <c r="C347" s="117" t="s">
        <v>130</v>
      </c>
      <c r="D347" s="25"/>
      <c r="E347" s="45">
        <f>SUM(E348:E348)</f>
        <v>5300</v>
      </c>
      <c r="F347" s="131"/>
      <c r="G347" s="131"/>
      <c r="H347" s="131"/>
      <c r="I347" s="207"/>
      <c r="J347" s="207"/>
    </row>
    <row r="348" spans="1:10" ht="12.75">
      <c r="A348" s="147">
        <f t="shared" si="13"/>
        <v>271</v>
      </c>
      <c r="B348" s="74"/>
      <c r="C348" s="117" t="s">
        <v>339</v>
      </c>
      <c r="D348" s="25"/>
      <c r="E348" s="46">
        <v>5300</v>
      </c>
      <c r="F348" s="131">
        <v>8000</v>
      </c>
      <c r="G348" s="131">
        <v>8000</v>
      </c>
      <c r="H348" s="131">
        <v>15000</v>
      </c>
      <c r="I348" s="207">
        <f t="shared" si="14"/>
        <v>1.875</v>
      </c>
      <c r="J348" s="207">
        <f t="shared" si="12"/>
        <v>0.0002239424098328571</v>
      </c>
    </row>
    <row r="349" spans="1:10" ht="12.75">
      <c r="A349" s="147">
        <f t="shared" si="13"/>
        <v>272</v>
      </c>
      <c r="B349" s="15">
        <v>4410</v>
      </c>
      <c r="C349" s="117" t="s">
        <v>29</v>
      </c>
      <c r="D349" s="25"/>
      <c r="E349" s="51" t="e">
        <f>SUM(#REF!)</f>
        <v>#REF!</v>
      </c>
      <c r="F349" s="142">
        <v>2000</v>
      </c>
      <c r="G349" s="142">
        <v>2000</v>
      </c>
      <c r="H349" s="142">
        <v>5000</v>
      </c>
      <c r="I349" s="207">
        <f t="shared" si="14"/>
        <v>2.5</v>
      </c>
      <c r="J349" s="207">
        <f t="shared" si="12"/>
        <v>7.464746994428571E-05</v>
      </c>
    </row>
    <row r="350" spans="1:10" ht="12.75">
      <c r="A350" s="147">
        <f t="shared" si="13"/>
        <v>273</v>
      </c>
      <c r="B350" s="15">
        <v>4420</v>
      </c>
      <c r="C350" s="117" t="s">
        <v>41</v>
      </c>
      <c r="D350" s="25"/>
      <c r="E350" s="97"/>
      <c r="F350" s="142">
        <v>4000</v>
      </c>
      <c r="G350" s="142">
        <v>4000</v>
      </c>
      <c r="H350" s="142">
        <v>5000</v>
      </c>
      <c r="I350" s="207">
        <f t="shared" si="14"/>
        <v>1.25</v>
      </c>
      <c r="J350" s="207">
        <f t="shared" si="12"/>
        <v>7.464746994428571E-05</v>
      </c>
    </row>
    <row r="351" spans="1:10" ht="12.75">
      <c r="A351" s="147">
        <f t="shared" si="13"/>
        <v>274</v>
      </c>
      <c r="B351" s="15">
        <v>4700</v>
      </c>
      <c r="C351" s="117" t="s">
        <v>297</v>
      </c>
      <c r="D351" s="25"/>
      <c r="E351" s="97"/>
      <c r="F351" s="142"/>
      <c r="G351" s="142"/>
      <c r="H351" s="142"/>
      <c r="I351" s="207"/>
      <c r="J351" s="207"/>
    </row>
    <row r="352" spans="1:10" ht="12.75">
      <c r="A352" s="147">
        <f t="shared" si="13"/>
        <v>275</v>
      </c>
      <c r="B352" s="15"/>
      <c r="C352" s="117" t="s">
        <v>296</v>
      </c>
      <c r="D352" s="25"/>
      <c r="E352" s="97"/>
      <c r="F352" s="142">
        <v>3000</v>
      </c>
      <c r="G352" s="142">
        <v>3000</v>
      </c>
      <c r="H352" s="142">
        <v>3000</v>
      </c>
      <c r="I352" s="207">
        <f t="shared" si="14"/>
        <v>1</v>
      </c>
      <c r="J352" s="207">
        <f t="shared" si="12"/>
        <v>4.478848196657142E-05</v>
      </c>
    </row>
    <row r="353" spans="1:10" s="73" customFormat="1" ht="12.75">
      <c r="A353" s="147">
        <f t="shared" si="13"/>
        <v>276</v>
      </c>
      <c r="B353" s="62">
        <v>75023</v>
      </c>
      <c r="C353" s="68" t="s">
        <v>100</v>
      </c>
      <c r="D353" s="63"/>
      <c r="E353" s="72" t="e">
        <f>E354+E359+E361+E365+E366+E367+E368+E370+E383+E394+E415+E420+E421+E427+E432+E454</f>
        <v>#REF!</v>
      </c>
      <c r="F353" s="138">
        <f>+F354+F360+F361+F365+F366+F367+F368+F369+F370+F383+F387+F393+F394+F410+F412+F414+F415+F420+F421+F427+F428+F432+F437+F439+F442+F447+F454</f>
        <v>3602137.65</v>
      </c>
      <c r="G353" s="138">
        <f>+G354+G360+G361+G365+G366+G367+G368+G369+G370+G383+G387+G393+G394+G410+G412+G414+G415+G420+G421+G427+G428+G432+G437+G439+G442+G447+G454</f>
        <v>3601134.67</v>
      </c>
      <c r="H353" s="138">
        <f>+H354+H360+H361+H365+H366+H367+H368+H369+H370+H383+H387+H393+H394+H410+H412+H414+H415+H420+H421+H427+H428+H432+H437+H439+H442+H447+H454</f>
        <v>4532000</v>
      </c>
      <c r="I353" s="207">
        <f t="shared" si="14"/>
        <v>1.2584922296171723</v>
      </c>
      <c r="J353" s="207">
        <f t="shared" si="12"/>
        <v>0.06766046675750056</v>
      </c>
    </row>
    <row r="354" spans="1:10" ht="12.75">
      <c r="A354" s="147">
        <f t="shared" si="13"/>
        <v>277</v>
      </c>
      <c r="B354" s="15">
        <v>3020</v>
      </c>
      <c r="C354" s="119" t="s">
        <v>218</v>
      </c>
      <c r="D354" s="25"/>
      <c r="E354" s="45">
        <f>SUM(E356:E357)</f>
        <v>6800</v>
      </c>
      <c r="F354" s="28">
        <f>SUM(F356:F358)</f>
        <v>8620</v>
      </c>
      <c r="G354" s="28">
        <f>SUM(G356:G358)</f>
        <v>8620</v>
      </c>
      <c r="H354" s="28">
        <f>SUM(H356:H358)</f>
        <v>9010</v>
      </c>
      <c r="I354" s="207">
        <f t="shared" si="14"/>
        <v>1.0452436194895591</v>
      </c>
      <c r="J354" s="207">
        <f t="shared" si="12"/>
        <v>0.00013451474083960285</v>
      </c>
    </row>
    <row r="355" spans="1:10" ht="12.75">
      <c r="A355" s="147">
        <f t="shared" si="13"/>
        <v>278</v>
      </c>
      <c r="B355" s="15"/>
      <c r="C355" s="117" t="s">
        <v>15</v>
      </c>
      <c r="D355" s="25"/>
      <c r="E355" s="46"/>
      <c r="F355" s="131"/>
      <c r="G355" s="131"/>
      <c r="H355" s="131"/>
      <c r="I355" s="207"/>
      <c r="J355" s="207"/>
    </row>
    <row r="356" spans="1:10" ht="12.75">
      <c r="A356" s="147">
        <f t="shared" si="13"/>
        <v>279</v>
      </c>
      <c r="B356" s="15"/>
      <c r="C356" s="117" t="s">
        <v>59</v>
      </c>
      <c r="D356" s="25"/>
      <c r="E356" s="46">
        <v>800</v>
      </c>
      <c r="F356" s="131">
        <v>1120</v>
      </c>
      <c r="G356" s="131">
        <v>1120</v>
      </c>
      <c r="H356" s="131">
        <v>1150</v>
      </c>
      <c r="I356" s="207">
        <f t="shared" si="14"/>
        <v>1.0267857142857142</v>
      </c>
      <c r="J356" s="207">
        <f t="shared" si="12"/>
        <v>1.716891808718571E-05</v>
      </c>
    </row>
    <row r="357" spans="1:10" ht="12.75">
      <c r="A357" s="147">
        <f t="shared" si="13"/>
        <v>280</v>
      </c>
      <c r="B357" s="15"/>
      <c r="C357" s="117" t="s">
        <v>60</v>
      </c>
      <c r="D357" s="25"/>
      <c r="E357" s="46">
        <v>6000</v>
      </c>
      <c r="F357" s="131">
        <v>7200</v>
      </c>
      <c r="G357" s="131">
        <v>7200</v>
      </c>
      <c r="H357" s="131">
        <v>7500</v>
      </c>
      <c r="I357" s="207">
        <f t="shared" si="14"/>
        <v>1.0416666666666667</v>
      </c>
      <c r="J357" s="207">
        <f t="shared" si="12"/>
        <v>0.00011197120491642855</v>
      </c>
    </row>
    <row r="358" spans="1:10" ht="12.75">
      <c r="A358" s="147">
        <f t="shared" si="13"/>
        <v>281</v>
      </c>
      <c r="B358" s="15"/>
      <c r="C358" s="117" t="s">
        <v>492</v>
      </c>
      <c r="D358" s="25"/>
      <c r="E358" s="46"/>
      <c r="F358" s="131">
        <v>300</v>
      </c>
      <c r="G358" s="131">
        <v>300</v>
      </c>
      <c r="H358" s="131">
        <v>360</v>
      </c>
      <c r="I358" s="207">
        <f t="shared" si="14"/>
        <v>1.2</v>
      </c>
      <c r="J358" s="207">
        <f t="shared" si="12"/>
        <v>5.37461783598857E-06</v>
      </c>
    </row>
    <row r="359" spans="1:10" ht="12.75">
      <c r="A359" s="147">
        <f t="shared" si="13"/>
        <v>282</v>
      </c>
      <c r="B359" s="15">
        <v>3030</v>
      </c>
      <c r="C359" s="117" t="s">
        <v>431</v>
      </c>
      <c r="D359" s="25"/>
      <c r="E359" s="45">
        <f>SUM(E360:E360)</f>
        <v>5100</v>
      </c>
      <c r="F359" s="131"/>
      <c r="G359" s="131"/>
      <c r="H359" s="131"/>
      <c r="I359" s="207"/>
      <c r="J359" s="207"/>
    </row>
    <row r="360" spans="1:10" ht="12.75">
      <c r="A360" s="147">
        <f t="shared" si="13"/>
        <v>283</v>
      </c>
      <c r="B360" s="15"/>
      <c r="C360" s="117" t="s">
        <v>187</v>
      </c>
      <c r="D360" s="25"/>
      <c r="E360" s="46">
        <v>5100</v>
      </c>
      <c r="F360" s="131">
        <v>8110</v>
      </c>
      <c r="G360" s="131">
        <v>8110</v>
      </c>
      <c r="H360" s="131">
        <v>9200</v>
      </c>
      <c r="I360" s="207">
        <f t="shared" si="14"/>
        <v>1.1344019728729964</v>
      </c>
      <c r="J360" s="207">
        <f t="shared" si="12"/>
        <v>0.0001373513446974857</v>
      </c>
    </row>
    <row r="361" spans="1:10" ht="12.75">
      <c r="A361" s="147">
        <f t="shared" si="13"/>
        <v>284</v>
      </c>
      <c r="B361" s="15">
        <v>4010</v>
      </c>
      <c r="C361" s="117" t="s">
        <v>27</v>
      </c>
      <c r="D361" s="25"/>
      <c r="E361" s="46">
        <v>1320000</v>
      </c>
      <c r="F361" s="131">
        <f>SUM(F363:F364)</f>
        <v>1925186</v>
      </c>
      <c r="G361" s="131">
        <f>SUM(G363:G364)</f>
        <v>1925186</v>
      </c>
      <c r="H361" s="131">
        <f>SUM(H363:H364)</f>
        <v>2500000</v>
      </c>
      <c r="I361" s="207">
        <f t="shared" si="14"/>
        <v>1.2985758259201967</v>
      </c>
      <c r="J361" s="207">
        <f t="shared" si="12"/>
        <v>0.03732373497214285</v>
      </c>
    </row>
    <row r="362" spans="1:10" ht="12.75">
      <c r="A362" s="147">
        <f t="shared" si="13"/>
        <v>285</v>
      </c>
      <c r="B362" s="15"/>
      <c r="C362" s="117" t="s">
        <v>15</v>
      </c>
      <c r="D362" s="25"/>
      <c r="E362" s="46"/>
      <c r="F362" s="131"/>
      <c r="G362" s="131"/>
      <c r="H362" s="131"/>
      <c r="I362" s="207"/>
      <c r="J362" s="207"/>
    </row>
    <row r="363" spans="1:10" ht="12.75">
      <c r="A363" s="147">
        <f t="shared" si="13"/>
        <v>286</v>
      </c>
      <c r="B363" s="15"/>
      <c r="C363" s="117" t="s">
        <v>690</v>
      </c>
      <c r="D363" s="25"/>
      <c r="E363" s="46"/>
      <c r="F363" s="131">
        <v>1925186</v>
      </c>
      <c r="G363" s="131">
        <v>1925186</v>
      </c>
      <c r="H363" s="131">
        <f>2500000-H364</f>
        <v>2110000</v>
      </c>
      <c r="I363" s="207">
        <f t="shared" si="14"/>
        <v>1.095997997076646</v>
      </c>
      <c r="J363" s="207">
        <f>H363/$H$1431</f>
        <v>0.03150123231648857</v>
      </c>
    </row>
    <row r="364" spans="1:10" ht="12.75">
      <c r="A364" s="147">
        <f t="shared" si="13"/>
        <v>287</v>
      </c>
      <c r="B364" s="15"/>
      <c r="C364" s="117" t="s">
        <v>691</v>
      </c>
      <c r="D364" s="25"/>
      <c r="E364" s="46"/>
      <c r="F364" s="131">
        <v>0</v>
      </c>
      <c r="G364" s="131">
        <v>0</v>
      </c>
      <c r="H364" s="131">
        <v>390000</v>
      </c>
      <c r="I364" s="207"/>
      <c r="J364" s="207">
        <f>H364/$H$1431</f>
        <v>0.005822502655654285</v>
      </c>
    </row>
    <row r="365" spans="1:10" ht="12.75">
      <c r="A365" s="147">
        <f t="shared" si="13"/>
        <v>288</v>
      </c>
      <c r="B365" s="15">
        <v>4040</v>
      </c>
      <c r="C365" s="117" t="s">
        <v>28</v>
      </c>
      <c r="D365" s="25"/>
      <c r="E365" s="46">
        <v>94000</v>
      </c>
      <c r="F365" s="131">
        <v>126436</v>
      </c>
      <c r="G365" s="131">
        <v>126436</v>
      </c>
      <c r="H365" s="131">
        <v>162000</v>
      </c>
      <c r="I365" s="207">
        <f t="shared" si="14"/>
        <v>1.2812806479167327</v>
      </c>
      <c r="J365" s="207">
        <f t="shared" si="12"/>
        <v>0.002418578026194857</v>
      </c>
    </row>
    <row r="366" spans="1:10" ht="12.75">
      <c r="A366" s="147">
        <f t="shared" si="13"/>
        <v>289</v>
      </c>
      <c r="B366" s="15">
        <v>4110</v>
      </c>
      <c r="C366" s="117" t="s">
        <v>432</v>
      </c>
      <c r="D366" s="25"/>
      <c r="E366" s="46">
        <v>252000</v>
      </c>
      <c r="F366" s="131">
        <v>332900</v>
      </c>
      <c r="G366" s="131">
        <v>332900</v>
      </c>
      <c r="H366" s="131">
        <v>400000</v>
      </c>
      <c r="I366" s="207">
        <f t="shared" si="14"/>
        <v>1.2015620306398318</v>
      </c>
      <c r="J366" s="207">
        <f t="shared" si="12"/>
        <v>0.005971797595542856</v>
      </c>
    </row>
    <row r="367" spans="1:10" ht="12.75">
      <c r="A367" s="147">
        <f t="shared" si="13"/>
        <v>290</v>
      </c>
      <c r="B367" s="15">
        <v>4120</v>
      </c>
      <c r="C367" s="117" t="s">
        <v>33</v>
      </c>
      <c r="D367" s="25"/>
      <c r="E367" s="46">
        <v>34500</v>
      </c>
      <c r="F367" s="131">
        <v>48200</v>
      </c>
      <c r="G367" s="131">
        <v>48200</v>
      </c>
      <c r="H367" s="131">
        <v>65000</v>
      </c>
      <c r="I367" s="207">
        <f t="shared" si="14"/>
        <v>1.3485477178423237</v>
      </c>
      <c r="J367" s="207">
        <f t="shared" si="12"/>
        <v>0.0009704171092757141</v>
      </c>
    </row>
    <row r="368" spans="1:10" ht="12.75">
      <c r="A368" s="147">
        <f t="shared" si="13"/>
        <v>291</v>
      </c>
      <c r="B368" s="15">
        <v>4140</v>
      </c>
      <c r="C368" s="117" t="s">
        <v>155</v>
      </c>
      <c r="D368" s="25"/>
      <c r="E368" s="46">
        <v>8000</v>
      </c>
      <c r="F368" s="131">
        <v>25000</v>
      </c>
      <c r="G368" s="131">
        <v>25000</v>
      </c>
      <c r="H368" s="131">
        <v>28000</v>
      </c>
      <c r="I368" s="207">
        <f t="shared" si="14"/>
        <v>1.12</v>
      </c>
      <c r="J368" s="207">
        <f t="shared" si="12"/>
        <v>0.0004180258316879999</v>
      </c>
    </row>
    <row r="369" spans="1:10" ht="12.75">
      <c r="A369" s="147">
        <f t="shared" si="13"/>
        <v>292</v>
      </c>
      <c r="B369" s="15">
        <v>4170</v>
      </c>
      <c r="C369" s="117" t="s">
        <v>212</v>
      </c>
      <c r="D369" s="25"/>
      <c r="E369" s="46"/>
      <c r="F369" s="131">
        <v>15700</v>
      </c>
      <c r="G369" s="131">
        <v>15700</v>
      </c>
      <c r="H369" s="131">
        <v>6000</v>
      </c>
      <c r="I369" s="207">
        <f t="shared" si="14"/>
        <v>0.3821656050955414</v>
      </c>
      <c r="J369" s="207">
        <f t="shared" si="12"/>
        <v>8.957696393314284E-05</v>
      </c>
    </row>
    <row r="370" spans="1:10" ht="12.75">
      <c r="A370" s="147">
        <f t="shared" si="13"/>
        <v>293</v>
      </c>
      <c r="B370" s="15">
        <v>4210</v>
      </c>
      <c r="C370" s="117" t="s">
        <v>132</v>
      </c>
      <c r="D370" s="25"/>
      <c r="E370" s="51">
        <f>SUM(E372:E381)</f>
        <v>114180</v>
      </c>
      <c r="F370" s="142">
        <f>SUM(F372:F382)</f>
        <v>181850</v>
      </c>
      <c r="G370" s="142">
        <f>SUM(G372:G382)</f>
        <v>181850</v>
      </c>
      <c r="H370" s="142">
        <f>SUM(H372:H382)</f>
        <v>188240</v>
      </c>
      <c r="I370" s="207">
        <f t="shared" si="14"/>
        <v>1.0351388507011272</v>
      </c>
      <c r="J370" s="207">
        <f t="shared" si="12"/>
        <v>0.0028103279484624683</v>
      </c>
    </row>
    <row r="371" spans="1:10" ht="12.75">
      <c r="A371" s="147">
        <f t="shared" si="13"/>
        <v>294</v>
      </c>
      <c r="B371" s="15"/>
      <c r="C371" s="117" t="s">
        <v>15</v>
      </c>
      <c r="D371" s="25"/>
      <c r="E371" s="46"/>
      <c r="F371" s="131"/>
      <c r="G371" s="131"/>
      <c r="H371" s="131"/>
      <c r="I371" s="207"/>
      <c r="J371" s="207"/>
    </row>
    <row r="372" spans="1:10" ht="12.75">
      <c r="A372" s="147">
        <f t="shared" si="13"/>
        <v>295</v>
      </c>
      <c r="B372" s="15"/>
      <c r="C372" s="117" t="s">
        <v>62</v>
      </c>
      <c r="D372" s="25"/>
      <c r="E372" s="46">
        <v>8000</v>
      </c>
      <c r="F372" s="142">
        <v>11860</v>
      </c>
      <c r="G372" s="142">
        <v>11860</v>
      </c>
      <c r="H372" s="142">
        <v>12200</v>
      </c>
      <c r="I372" s="207">
        <f t="shared" si="14"/>
        <v>1.0286677908937605</v>
      </c>
      <c r="J372" s="207">
        <f t="shared" si="12"/>
        <v>0.0001821398266640571</v>
      </c>
    </row>
    <row r="373" spans="1:10" ht="12.75">
      <c r="A373" s="147">
        <f t="shared" si="13"/>
        <v>296</v>
      </c>
      <c r="B373" s="15"/>
      <c r="C373" s="117" t="s">
        <v>63</v>
      </c>
      <c r="D373" s="25"/>
      <c r="E373" s="46">
        <v>22000</v>
      </c>
      <c r="F373" s="142">
        <v>24300</v>
      </c>
      <c r="G373" s="142">
        <v>24300</v>
      </c>
      <c r="H373" s="142">
        <v>26600</v>
      </c>
      <c r="I373" s="207">
        <f t="shared" si="14"/>
        <v>1.0946502057613168</v>
      </c>
      <c r="J373" s="207">
        <f t="shared" si="12"/>
        <v>0.0003971245401035999</v>
      </c>
    </row>
    <row r="374" spans="1:10" ht="12.75">
      <c r="A374" s="147">
        <f t="shared" si="13"/>
        <v>297</v>
      </c>
      <c r="B374" s="15"/>
      <c r="C374" s="117" t="s">
        <v>340</v>
      </c>
      <c r="D374" s="25"/>
      <c r="E374" s="46">
        <v>9000</v>
      </c>
      <c r="F374" s="142">
        <v>500</v>
      </c>
      <c r="G374" s="142">
        <v>500</v>
      </c>
      <c r="H374" s="142">
        <v>500</v>
      </c>
      <c r="I374" s="207">
        <f t="shared" si="14"/>
        <v>1</v>
      </c>
      <c r="J374" s="207">
        <f t="shared" si="12"/>
        <v>7.464746994428571E-06</v>
      </c>
    </row>
    <row r="375" spans="1:10" ht="12.75">
      <c r="A375" s="147">
        <f t="shared" si="13"/>
        <v>298</v>
      </c>
      <c r="B375" s="15"/>
      <c r="C375" s="117" t="s">
        <v>64</v>
      </c>
      <c r="D375" s="25"/>
      <c r="E375" s="46">
        <v>23280</v>
      </c>
      <c r="F375" s="142">
        <v>88600</v>
      </c>
      <c r="G375" s="142">
        <v>88600</v>
      </c>
      <c r="H375" s="142">
        <v>91000</v>
      </c>
      <c r="I375" s="207">
        <f t="shared" si="14"/>
        <v>1.0270880361173815</v>
      </c>
      <c r="J375" s="207">
        <f t="shared" si="12"/>
        <v>0.0013585839529859998</v>
      </c>
    </row>
    <row r="376" spans="1:10" ht="12.75">
      <c r="A376" s="147">
        <f t="shared" si="13"/>
        <v>299</v>
      </c>
      <c r="B376" s="15"/>
      <c r="C376" s="117" t="s">
        <v>65</v>
      </c>
      <c r="D376" s="25"/>
      <c r="E376" s="46">
        <v>15000</v>
      </c>
      <c r="F376" s="142">
        <v>11000</v>
      </c>
      <c r="G376" s="142">
        <v>11000</v>
      </c>
      <c r="H376" s="142">
        <v>11500</v>
      </c>
      <c r="I376" s="207">
        <f t="shared" si="14"/>
        <v>1.0454545454545454</v>
      </c>
      <c r="J376" s="207">
        <f t="shared" si="12"/>
        <v>0.0001716891808718571</v>
      </c>
    </row>
    <row r="377" spans="1:10" ht="12.75">
      <c r="A377" s="147">
        <f t="shared" si="13"/>
        <v>300</v>
      </c>
      <c r="B377" s="15"/>
      <c r="C377" s="117" t="s">
        <v>66</v>
      </c>
      <c r="D377" s="25"/>
      <c r="E377" s="46">
        <v>7400</v>
      </c>
      <c r="F377" s="142">
        <v>9530</v>
      </c>
      <c r="G377" s="142">
        <v>9530</v>
      </c>
      <c r="H377" s="142">
        <v>9800</v>
      </c>
      <c r="I377" s="207">
        <f t="shared" si="14"/>
        <v>1.0283315844700944</v>
      </c>
      <c r="J377" s="207">
        <f t="shared" si="12"/>
        <v>0.0001463090410908</v>
      </c>
    </row>
    <row r="378" spans="1:10" ht="12.75">
      <c r="A378" s="147">
        <f t="shared" si="13"/>
        <v>301</v>
      </c>
      <c r="B378" s="15"/>
      <c r="C378" s="117" t="s">
        <v>67</v>
      </c>
      <c r="D378" s="25"/>
      <c r="E378" s="46">
        <v>18000</v>
      </c>
      <c r="F378" s="142">
        <v>11500</v>
      </c>
      <c r="G378" s="142">
        <v>11500</v>
      </c>
      <c r="H378" s="142">
        <v>12000</v>
      </c>
      <c r="I378" s="207">
        <f t="shared" si="14"/>
        <v>1.0434782608695652</v>
      </c>
      <c r="J378" s="207">
        <f t="shared" si="12"/>
        <v>0.0001791539278662857</v>
      </c>
    </row>
    <row r="379" spans="1:10" ht="12.75">
      <c r="A379" s="147">
        <f t="shared" si="13"/>
        <v>302</v>
      </c>
      <c r="B379" s="15"/>
      <c r="C379" s="117" t="s">
        <v>193</v>
      </c>
      <c r="D379" s="25"/>
      <c r="E379" s="46"/>
      <c r="F379" s="142">
        <v>8300</v>
      </c>
      <c r="G379" s="142">
        <v>8300</v>
      </c>
      <c r="H379" s="142">
        <v>7600</v>
      </c>
      <c r="I379" s="207">
        <f t="shared" si="14"/>
        <v>0.9156626506024096</v>
      </c>
      <c r="J379" s="207">
        <f t="shared" si="12"/>
        <v>0.00011346415431531427</v>
      </c>
    </row>
    <row r="380" spans="1:10" ht="12.75">
      <c r="A380" s="147">
        <f t="shared" si="13"/>
        <v>303</v>
      </c>
      <c r="B380" s="15"/>
      <c r="C380" s="117" t="s">
        <v>19</v>
      </c>
      <c r="D380" s="25"/>
      <c r="E380" s="46">
        <v>5000</v>
      </c>
      <c r="F380" s="142">
        <v>8000</v>
      </c>
      <c r="G380" s="142">
        <v>8000</v>
      </c>
      <c r="H380" s="142">
        <v>8600</v>
      </c>
      <c r="I380" s="207">
        <f t="shared" si="14"/>
        <v>1.075</v>
      </c>
      <c r="J380" s="207">
        <f>H380/$H$1431</f>
        <v>0.00012839364830417142</v>
      </c>
    </row>
    <row r="381" spans="1:10" ht="12.75">
      <c r="A381" s="147">
        <f t="shared" si="13"/>
        <v>304</v>
      </c>
      <c r="B381" s="15"/>
      <c r="C381" s="117" t="s">
        <v>69</v>
      </c>
      <c r="D381" s="25"/>
      <c r="E381" s="46">
        <v>6500</v>
      </c>
      <c r="F381" s="142">
        <v>6260</v>
      </c>
      <c r="G381" s="142">
        <v>6260</v>
      </c>
      <c r="H381" s="142">
        <v>6440</v>
      </c>
      <c r="I381" s="207">
        <f t="shared" si="14"/>
        <v>1.0287539936102237</v>
      </c>
      <c r="J381" s="207">
        <f>H381/$H$1431</f>
        <v>9.614594128823999E-05</v>
      </c>
    </row>
    <row r="382" spans="1:10" ht="12.75">
      <c r="A382" s="147">
        <f t="shared" si="13"/>
        <v>305</v>
      </c>
      <c r="B382" s="15"/>
      <c r="C382" s="117" t="s">
        <v>203</v>
      </c>
      <c r="D382" s="25"/>
      <c r="E382" s="46"/>
      <c r="F382" s="142">
        <v>2000</v>
      </c>
      <c r="G382" s="142">
        <v>2000</v>
      </c>
      <c r="H382" s="142">
        <v>2000</v>
      </c>
      <c r="I382" s="207">
        <f t="shared" si="14"/>
        <v>1</v>
      </c>
      <c r="J382" s="207">
        <f>H382/$H$1431</f>
        <v>2.9858987977714282E-05</v>
      </c>
    </row>
    <row r="383" spans="1:10" ht="12.75">
      <c r="A383" s="147">
        <f>A382+1</f>
        <v>306</v>
      </c>
      <c r="B383" s="15">
        <v>4260</v>
      </c>
      <c r="C383" s="117" t="s">
        <v>134</v>
      </c>
      <c r="D383" s="25"/>
      <c r="E383" s="51">
        <f>SUM(E385:E386)</f>
        <v>13000</v>
      </c>
      <c r="F383" s="139">
        <f>SUM(F385:F386)</f>
        <v>19230</v>
      </c>
      <c r="G383" s="139">
        <f>SUM(G385:G386)</f>
        <v>19230</v>
      </c>
      <c r="H383" s="139">
        <f>SUM(H385:H386)</f>
        <v>19800</v>
      </c>
      <c r="I383" s="207">
        <f t="shared" si="14"/>
        <v>1.029641185647426</v>
      </c>
      <c r="J383" s="207">
        <f>H383/$H$1431</f>
        <v>0.0002956039809793714</v>
      </c>
    </row>
    <row r="384" spans="1:10" ht="12.75">
      <c r="A384" s="147">
        <f>A383+1</f>
        <v>307</v>
      </c>
      <c r="B384" s="15"/>
      <c r="C384" s="117" t="s">
        <v>15</v>
      </c>
      <c r="D384" s="25"/>
      <c r="E384" s="46"/>
      <c r="F384" s="131"/>
      <c r="G384" s="131"/>
      <c r="H384" s="131"/>
      <c r="I384" s="207"/>
      <c r="J384" s="207"/>
    </row>
    <row r="385" spans="1:10" ht="12.75">
      <c r="A385" s="147">
        <f>A384+1</f>
        <v>308</v>
      </c>
      <c r="B385" s="15"/>
      <c r="C385" s="117" t="s">
        <v>30</v>
      </c>
      <c r="D385" s="25"/>
      <c r="E385" s="46">
        <v>8000</v>
      </c>
      <c r="F385" s="131">
        <v>15730</v>
      </c>
      <c r="G385" s="131">
        <v>15730</v>
      </c>
      <c r="H385" s="131">
        <v>16200</v>
      </c>
      <c r="I385" s="207">
        <f t="shared" si="14"/>
        <v>1.0298792116973936</v>
      </c>
      <c r="J385" s="207">
        <f>H385/$H$1431</f>
        <v>0.00024185780261948568</v>
      </c>
    </row>
    <row r="386" spans="1:10" ht="12.75">
      <c r="A386" s="147">
        <f>A385+1</f>
        <v>309</v>
      </c>
      <c r="B386" s="15"/>
      <c r="C386" s="117" t="s">
        <v>70</v>
      </c>
      <c r="D386" s="25"/>
      <c r="E386" s="46">
        <v>5000</v>
      </c>
      <c r="F386" s="131">
        <v>3500</v>
      </c>
      <c r="G386" s="131">
        <v>3500</v>
      </c>
      <c r="H386" s="131">
        <v>3600</v>
      </c>
      <c r="I386" s="207">
        <f t="shared" si="14"/>
        <v>1.0285714285714285</v>
      </c>
      <c r="J386" s="207">
        <f>H386/$H$1431</f>
        <v>5.374617835988571E-05</v>
      </c>
    </row>
    <row r="387" spans="1:10" ht="12.75">
      <c r="A387" s="147">
        <f>A386+1</f>
        <v>310</v>
      </c>
      <c r="B387" s="15">
        <v>4270</v>
      </c>
      <c r="C387" s="117" t="s">
        <v>286</v>
      </c>
      <c r="D387" s="25"/>
      <c r="E387" s="46"/>
      <c r="F387" s="131">
        <f>SUM(F389:F392)</f>
        <v>30589</v>
      </c>
      <c r="G387" s="131">
        <f>SUM(G389:G392)</f>
        <v>30589</v>
      </c>
      <c r="H387" s="131">
        <f>SUM(H389:H392)</f>
        <v>28510</v>
      </c>
      <c r="I387" s="207">
        <f t="shared" si="14"/>
        <v>0.9320343914479061</v>
      </c>
      <c r="J387" s="207">
        <f>H387/$H$1431</f>
        <v>0.0004256398736223171</v>
      </c>
    </row>
    <row r="388" spans="1:10" ht="12.75">
      <c r="A388" s="147">
        <f aca="true" t="shared" si="15" ref="A388:A449">A387+1</f>
        <v>311</v>
      </c>
      <c r="B388" s="15"/>
      <c r="C388" s="117" t="s">
        <v>15</v>
      </c>
      <c r="D388" s="25"/>
      <c r="E388" s="46"/>
      <c r="F388" s="131"/>
      <c r="G388" s="131"/>
      <c r="H388" s="131"/>
      <c r="I388" s="207"/>
      <c r="J388" s="207"/>
    </row>
    <row r="389" spans="1:10" ht="12.75">
      <c r="A389" s="147">
        <f t="shared" si="15"/>
        <v>312</v>
      </c>
      <c r="B389" s="15"/>
      <c r="C389" s="117" t="s">
        <v>341</v>
      </c>
      <c r="D389" s="25"/>
      <c r="E389" s="46"/>
      <c r="F389" s="131">
        <v>10150</v>
      </c>
      <c r="G389" s="131">
        <v>10150</v>
      </c>
      <c r="H389" s="131">
        <v>10000</v>
      </c>
      <c r="I389" s="207">
        <f t="shared" si="14"/>
        <v>0.9852216748768473</v>
      </c>
      <c r="J389" s="207">
        <f aca="true" t="shared" si="16" ref="J389:J394">H389/$H$1431</f>
        <v>0.00014929493988857142</v>
      </c>
    </row>
    <row r="390" spans="1:10" ht="12.75">
      <c r="A390" s="147">
        <f t="shared" si="15"/>
        <v>313</v>
      </c>
      <c r="B390" s="15"/>
      <c r="C390" s="117" t="s">
        <v>342</v>
      </c>
      <c r="D390" s="25"/>
      <c r="E390" s="46"/>
      <c r="F390" s="131">
        <v>5300</v>
      </c>
      <c r="G390" s="131">
        <v>5300</v>
      </c>
      <c r="H390" s="131">
        <v>5460</v>
      </c>
      <c r="I390" s="207">
        <f t="shared" si="14"/>
        <v>1.030188679245283</v>
      </c>
      <c r="J390" s="207">
        <f t="shared" si="16"/>
        <v>8.151503717915999E-05</v>
      </c>
    </row>
    <row r="391" spans="1:10" ht="12.75">
      <c r="A391" s="147">
        <f t="shared" si="15"/>
        <v>314</v>
      </c>
      <c r="B391" s="15"/>
      <c r="C391" s="117" t="s">
        <v>75</v>
      </c>
      <c r="D391" s="25"/>
      <c r="E391" s="46"/>
      <c r="F391" s="131">
        <v>4900</v>
      </c>
      <c r="G391" s="131">
        <v>4900</v>
      </c>
      <c r="H391" s="131">
        <v>5050</v>
      </c>
      <c r="I391" s="207">
        <f t="shared" si="14"/>
        <v>1.030612244897959</v>
      </c>
      <c r="J391" s="207">
        <f t="shared" si="16"/>
        <v>7.539394464372856E-05</v>
      </c>
    </row>
    <row r="392" spans="1:10" ht="12.75">
      <c r="A392" s="147">
        <f t="shared" si="15"/>
        <v>315</v>
      </c>
      <c r="B392" s="15"/>
      <c r="C392" s="117" t="s">
        <v>343</v>
      </c>
      <c r="D392" s="25"/>
      <c r="E392" s="46"/>
      <c r="F392" s="131">
        <v>10239</v>
      </c>
      <c r="G392" s="131">
        <v>10239</v>
      </c>
      <c r="H392" s="131">
        <v>8000</v>
      </c>
      <c r="I392" s="207">
        <f t="shared" si="14"/>
        <v>0.7813263013966207</v>
      </c>
      <c r="J392" s="207">
        <f t="shared" si="16"/>
        <v>0.00011943595191085713</v>
      </c>
    </row>
    <row r="393" spans="1:10" ht="12.75">
      <c r="A393" s="147">
        <f t="shared" si="15"/>
        <v>316</v>
      </c>
      <c r="B393" s="15">
        <v>4280</v>
      </c>
      <c r="C393" s="117" t="s">
        <v>252</v>
      </c>
      <c r="D393" s="25"/>
      <c r="E393" s="46"/>
      <c r="F393" s="131">
        <v>2000</v>
      </c>
      <c r="G393" s="131">
        <v>2000</v>
      </c>
      <c r="H393" s="131">
        <v>3000</v>
      </c>
      <c r="I393" s="207">
        <f aca="true" t="shared" si="17" ref="I393:I457">H393/G393</f>
        <v>1.5</v>
      </c>
      <c r="J393" s="207">
        <f t="shared" si="16"/>
        <v>4.478848196657142E-05</v>
      </c>
    </row>
    <row r="394" spans="1:10" ht="12.75">
      <c r="A394" s="147">
        <f t="shared" si="15"/>
        <v>317</v>
      </c>
      <c r="B394" s="15">
        <v>4300</v>
      </c>
      <c r="C394" s="117" t="s">
        <v>130</v>
      </c>
      <c r="D394" s="25"/>
      <c r="E394" s="51">
        <f>SUM(E396:E405)</f>
        <v>150300</v>
      </c>
      <c r="F394" s="139">
        <f>SUM(F396:F409)</f>
        <v>351261</v>
      </c>
      <c r="G394" s="139">
        <f>SUM(G396:G409)</f>
        <v>351261</v>
      </c>
      <c r="H394" s="139">
        <f>SUM(H396:H409)</f>
        <v>410630</v>
      </c>
      <c r="I394" s="207">
        <f t="shared" si="17"/>
        <v>1.169016771005036</v>
      </c>
      <c r="J394" s="207">
        <f t="shared" si="16"/>
        <v>0.0061304981166444075</v>
      </c>
    </row>
    <row r="395" spans="1:10" ht="12.75">
      <c r="A395" s="147">
        <f t="shared" si="15"/>
        <v>318</v>
      </c>
      <c r="B395" s="15"/>
      <c r="C395" s="117" t="s">
        <v>15</v>
      </c>
      <c r="D395" s="25"/>
      <c r="E395" s="46"/>
      <c r="F395" s="131"/>
      <c r="G395" s="131"/>
      <c r="H395" s="131"/>
      <c r="I395" s="207"/>
      <c r="J395" s="207"/>
    </row>
    <row r="396" spans="1:10" ht="12.75">
      <c r="A396" s="147">
        <f t="shared" si="15"/>
        <v>319</v>
      </c>
      <c r="B396" s="15"/>
      <c r="C396" s="117" t="s">
        <v>53</v>
      </c>
      <c r="D396" s="25"/>
      <c r="E396" s="46">
        <v>65000</v>
      </c>
      <c r="F396" s="131">
        <v>99000</v>
      </c>
      <c r="G396" s="131">
        <v>99000</v>
      </c>
      <c r="H396" s="131">
        <v>101000</v>
      </c>
      <c r="I396" s="207">
        <f t="shared" si="17"/>
        <v>1.02020202020202</v>
      </c>
      <c r="J396" s="207">
        <f aca="true" t="shared" si="18" ref="J396:J410">H396/$H$1431</f>
        <v>0.0015078788928745712</v>
      </c>
    </row>
    <row r="397" spans="1:10" ht="12.75">
      <c r="A397" s="147">
        <f t="shared" si="15"/>
        <v>320</v>
      </c>
      <c r="B397" s="15"/>
      <c r="C397" s="117" t="s">
        <v>68</v>
      </c>
      <c r="D397" s="25"/>
      <c r="E397" s="46">
        <v>3600</v>
      </c>
      <c r="F397" s="131">
        <v>1330</v>
      </c>
      <c r="G397" s="131">
        <v>1330</v>
      </c>
      <c r="H397" s="131">
        <v>1370</v>
      </c>
      <c r="I397" s="207">
        <f t="shared" si="17"/>
        <v>1.0300751879699248</v>
      </c>
      <c r="J397" s="207">
        <f t="shared" si="18"/>
        <v>2.0453406764734284E-05</v>
      </c>
    </row>
    <row r="398" spans="1:10" ht="12.75">
      <c r="A398" s="147">
        <f t="shared" si="15"/>
        <v>321</v>
      </c>
      <c r="B398" s="15"/>
      <c r="C398" s="117" t="s">
        <v>194</v>
      </c>
      <c r="D398" s="25"/>
      <c r="E398" s="46"/>
      <c r="F398" s="131">
        <v>1000</v>
      </c>
      <c r="G398" s="131">
        <v>1000</v>
      </c>
      <c r="H398" s="131">
        <v>1000</v>
      </c>
      <c r="I398" s="207">
        <f t="shared" si="17"/>
        <v>1</v>
      </c>
      <c r="J398" s="207">
        <f t="shared" si="18"/>
        <v>1.4929493988857141E-05</v>
      </c>
    </row>
    <row r="399" spans="1:10" ht="12.75">
      <c r="A399" s="147">
        <f t="shared" si="15"/>
        <v>322</v>
      </c>
      <c r="B399" s="15"/>
      <c r="C399" s="117" t="s">
        <v>19</v>
      </c>
      <c r="D399" s="25"/>
      <c r="E399" s="46">
        <v>40000</v>
      </c>
      <c r="F399" s="131">
        <v>14861</v>
      </c>
      <c r="G399" s="131">
        <v>14861</v>
      </c>
      <c r="H399" s="131">
        <f>10000+7000+20000</f>
        <v>37000</v>
      </c>
      <c r="I399" s="207">
        <f t="shared" si="17"/>
        <v>2.489738241033578</v>
      </c>
      <c r="J399" s="207">
        <f t="shared" si="18"/>
        <v>0.0005523912775877142</v>
      </c>
    </row>
    <row r="400" spans="1:10" ht="12.75">
      <c r="A400" s="147">
        <f t="shared" si="15"/>
        <v>323</v>
      </c>
      <c r="B400" s="15"/>
      <c r="C400" s="117" t="s">
        <v>71</v>
      </c>
      <c r="D400" s="25"/>
      <c r="E400" s="46">
        <v>1500</v>
      </c>
      <c r="F400" s="131">
        <v>370</v>
      </c>
      <c r="G400" s="131">
        <v>370</v>
      </c>
      <c r="H400" s="131">
        <v>1000</v>
      </c>
      <c r="I400" s="207">
        <f t="shared" si="17"/>
        <v>2.7027027027027026</v>
      </c>
      <c r="J400" s="207">
        <f t="shared" si="18"/>
        <v>1.4929493988857141E-05</v>
      </c>
    </row>
    <row r="401" spans="1:10" ht="12.75">
      <c r="A401" s="147">
        <f t="shared" si="15"/>
        <v>324</v>
      </c>
      <c r="B401" s="15"/>
      <c r="C401" s="117" t="s">
        <v>72</v>
      </c>
      <c r="D401" s="25"/>
      <c r="E401" s="46">
        <v>6200</v>
      </c>
      <c r="F401" s="131">
        <v>10000</v>
      </c>
      <c r="G401" s="131">
        <v>10000</v>
      </c>
      <c r="H401" s="131">
        <v>12000</v>
      </c>
      <c r="I401" s="207">
        <f t="shared" si="17"/>
        <v>1.2</v>
      </c>
      <c r="J401" s="207">
        <f t="shared" si="18"/>
        <v>0.0001791539278662857</v>
      </c>
    </row>
    <row r="402" spans="1:10" ht="12.75">
      <c r="A402" s="147">
        <f t="shared" si="15"/>
        <v>325</v>
      </c>
      <c r="B402" s="15"/>
      <c r="C402" s="117" t="s">
        <v>73</v>
      </c>
      <c r="D402" s="25"/>
      <c r="E402" s="46">
        <v>16000</v>
      </c>
      <c r="F402" s="131">
        <v>16360</v>
      </c>
      <c r="G402" s="131">
        <v>16360</v>
      </c>
      <c r="H402" s="131">
        <v>16840</v>
      </c>
      <c r="I402" s="207">
        <f t="shared" si="17"/>
        <v>1.0293398533007334</v>
      </c>
      <c r="J402" s="207">
        <f t="shared" si="18"/>
        <v>0.00025141267877235425</v>
      </c>
    </row>
    <row r="403" spans="1:10" ht="12.75">
      <c r="A403" s="147">
        <f t="shared" si="15"/>
        <v>326</v>
      </c>
      <c r="B403" s="15"/>
      <c r="C403" s="117" t="s">
        <v>74</v>
      </c>
      <c r="D403" s="25"/>
      <c r="E403" s="46">
        <v>7000</v>
      </c>
      <c r="F403" s="131">
        <v>6240</v>
      </c>
      <c r="G403" s="131">
        <v>6240</v>
      </c>
      <c r="H403" s="131">
        <v>6420</v>
      </c>
      <c r="I403" s="207">
        <f t="shared" si="17"/>
        <v>1.0288461538461537</v>
      </c>
      <c r="J403" s="207">
        <f t="shared" si="18"/>
        <v>9.584735140846284E-05</v>
      </c>
    </row>
    <row r="404" spans="1:10" ht="12.75">
      <c r="A404" s="147">
        <f t="shared" si="15"/>
        <v>327</v>
      </c>
      <c r="B404" s="15"/>
      <c r="C404" s="117" t="s">
        <v>150</v>
      </c>
      <c r="D404" s="25"/>
      <c r="E404" s="46">
        <v>1000</v>
      </c>
      <c r="F404" s="131">
        <v>191100</v>
      </c>
      <c r="G404" s="131">
        <v>191100</v>
      </c>
      <c r="H404" s="131">
        <v>170000</v>
      </c>
      <c r="I404" s="207">
        <f t="shared" si="17"/>
        <v>0.8895866038723181</v>
      </c>
      <c r="J404" s="207">
        <f t="shared" si="18"/>
        <v>0.002538013978105714</v>
      </c>
    </row>
    <row r="405" spans="1:10" ht="12.75">
      <c r="A405" s="147">
        <f t="shared" si="15"/>
        <v>328</v>
      </c>
      <c r="B405" s="15"/>
      <c r="C405" s="117" t="s">
        <v>67</v>
      </c>
      <c r="D405" s="25"/>
      <c r="E405" s="46">
        <v>10000</v>
      </c>
      <c r="F405" s="131">
        <v>11000</v>
      </c>
      <c r="G405" s="131">
        <v>11000</v>
      </c>
      <c r="H405" s="131">
        <v>12000</v>
      </c>
      <c r="I405" s="207">
        <f t="shared" si="17"/>
        <v>1.0909090909090908</v>
      </c>
      <c r="J405" s="207">
        <f t="shared" si="18"/>
        <v>0.0001791539278662857</v>
      </c>
    </row>
    <row r="406" spans="1:10" ht="12.75">
      <c r="A406" s="147">
        <f t="shared" si="15"/>
        <v>329</v>
      </c>
      <c r="B406" s="15"/>
      <c r="C406" s="117" t="s">
        <v>609</v>
      </c>
      <c r="D406" s="25"/>
      <c r="E406" s="46"/>
      <c r="F406" s="131"/>
      <c r="G406" s="131"/>
      <c r="H406" s="131"/>
      <c r="I406" s="207"/>
      <c r="J406" s="207"/>
    </row>
    <row r="407" spans="1:10" ht="12.75">
      <c r="A407" s="147">
        <f t="shared" si="15"/>
        <v>330</v>
      </c>
      <c r="B407" s="15"/>
      <c r="C407" s="117" t="s">
        <v>579</v>
      </c>
      <c r="D407" s="25"/>
      <c r="E407" s="46"/>
      <c r="F407" s="131">
        <v>0</v>
      </c>
      <c r="G407" s="131">
        <v>0</v>
      </c>
      <c r="H407" s="131">
        <v>12000</v>
      </c>
      <c r="I407" s="207"/>
      <c r="J407" s="207">
        <f t="shared" si="18"/>
        <v>0.0001791539278662857</v>
      </c>
    </row>
    <row r="408" spans="1:10" ht="12.75">
      <c r="A408" s="147">
        <f t="shared" si="15"/>
        <v>331</v>
      </c>
      <c r="B408" s="15"/>
      <c r="C408" s="117" t="s">
        <v>626</v>
      </c>
      <c r="D408" s="25"/>
      <c r="E408" s="46"/>
      <c r="F408" s="131"/>
      <c r="G408" s="131"/>
      <c r="H408" s="131"/>
      <c r="I408" s="207"/>
      <c r="J408" s="207"/>
    </row>
    <row r="409" spans="1:10" ht="12.75">
      <c r="A409" s="147">
        <f t="shared" si="15"/>
        <v>332</v>
      </c>
      <c r="B409" s="15"/>
      <c r="C409" s="117" t="s">
        <v>625</v>
      </c>
      <c r="D409" s="25"/>
      <c r="E409" s="46"/>
      <c r="F409" s="131">
        <v>0</v>
      </c>
      <c r="G409" s="131">
        <v>0</v>
      </c>
      <c r="H409" s="131">
        <v>40000</v>
      </c>
      <c r="I409" s="207"/>
      <c r="J409" s="207">
        <f t="shared" si="18"/>
        <v>0.0005971797595542857</v>
      </c>
    </row>
    <row r="410" spans="1:10" ht="12.75">
      <c r="A410" s="147">
        <f t="shared" si="15"/>
        <v>333</v>
      </c>
      <c r="B410" s="15">
        <v>4350</v>
      </c>
      <c r="C410" s="117" t="s">
        <v>287</v>
      </c>
      <c r="D410" s="25"/>
      <c r="E410" s="46"/>
      <c r="F410" s="131">
        <v>4170</v>
      </c>
      <c r="G410" s="131">
        <v>4170</v>
      </c>
      <c r="H410" s="131">
        <v>4200</v>
      </c>
      <c r="I410" s="207">
        <f t="shared" si="17"/>
        <v>1.0071942446043165</v>
      </c>
      <c r="J410" s="207">
        <f t="shared" si="18"/>
        <v>6.27038747532E-05</v>
      </c>
    </row>
    <row r="411" spans="1:10" ht="12.75">
      <c r="A411" s="147">
        <f t="shared" si="15"/>
        <v>334</v>
      </c>
      <c r="B411" s="15">
        <v>4360</v>
      </c>
      <c r="C411" s="117" t="s">
        <v>280</v>
      </c>
      <c r="D411" s="25"/>
      <c r="E411" s="46"/>
      <c r="F411" s="131"/>
      <c r="G411" s="131"/>
      <c r="H411" s="131"/>
      <c r="I411" s="207"/>
      <c r="J411" s="207"/>
    </row>
    <row r="412" spans="1:10" ht="12.75">
      <c r="A412" s="147">
        <f t="shared" si="15"/>
        <v>335</v>
      </c>
      <c r="B412" s="15"/>
      <c r="C412" s="117" t="s">
        <v>265</v>
      </c>
      <c r="D412" s="25"/>
      <c r="E412" s="46"/>
      <c r="F412" s="131">
        <v>20400</v>
      </c>
      <c r="G412" s="131">
        <v>20400</v>
      </c>
      <c r="H412" s="131">
        <v>24000</v>
      </c>
      <c r="I412" s="207">
        <f t="shared" si="17"/>
        <v>1.1764705882352942</v>
      </c>
      <c r="J412" s="207">
        <f>H412/$H$1431</f>
        <v>0.0003583078557325714</v>
      </c>
    </row>
    <row r="413" spans="1:10" ht="12.75">
      <c r="A413" s="147">
        <f t="shared" si="15"/>
        <v>336</v>
      </c>
      <c r="B413" s="15">
        <v>4370</v>
      </c>
      <c r="C413" s="117" t="s">
        <v>280</v>
      </c>
      <c r="D413" s="25"/>
      <c r="E413" s="46"/>
      <c r="F413" s="131"/>
      <c r="G413" s="131"/>
      <c r="H413" s="131"/>
      <c r="I413" s="207"/>
      <c r="J413" s="207"/>
    </row>
    <row r="414" spans="1:10" ht="12.75">
      <c r="A414" s="147">
        <f t="shared" si="15"/>
        <v>337</v>
      </c>
      <c r="B414" s="15"/>
      <c r="C414" s="117" t="s">
        <v>266</v>
      </c>
      <c r="D414" s="25"/>
      <c r="E414" s="46"/>
      <c r="F414" s="131">
        <v>43500</v>
      </c>
      <c r="G414" s="131">
        <v>43500</v>
      </c>
      <c r="H414" s="131">
        <v>44760</v>
      </c>
      <c r="I414" s="207">
        <f t="shared" si="17"/>
        <v>1.0289655172413794</v>
      </c>
      <c r="J414" s="207">
        <f aca="true" t="shared" si="19" ref="J414:J421">H414/$H$1431</f>
        <v>0.0006682441509412456</v>
      </c>
    </row>
    <row r="415" spans="1:10" ht="12.75">
      <c r="A415" s="147">
        <f t="shared" si="15"/>
        <v>338</v>
      </c>
      <c r="B415" s="15">
        <v>4410</v>
      </c>
      <c r="C415" s="117" t="s">
        <v>29</v>
      </c>
      <c r="D415" s="25"/>
      <c r="E415" s="51">
        <f>SUM(E417:E419)</f>
        <v>32700</v>
      </c>
      <c r="F415" s="139">
        <f>SUM(F417:F419)</f>
        <v>48800</v>
      </c>
      <c r="G415" s="139">
        <f>SUM(G417:G419)</f>
        <v>48800</v>
      </c>
      <c r="H415" s="139">
        <f>SUM(H417:H419)</f>
        <v>51000</v>
      </c>
      <c r="I415" s="207">
        <f t="shared" si="17"/>
        <v>1.0450819672131149</v>
      </c>
      <c r="J415" s="207">
        <f t="shared" si="19"/>
        <v>0.0007614041934317141</v>
      </c>
    </row>
    <row r="416" spans="1:10" ht="12.75">
      <c r="A416" s="147">
        <f t="shared" si="15"/>
        <v>339</v>
      </c>
      <c r="B416" s="15"/>
      <c r="C416" s="117" t="s">
        <v>15</v>
      </c>
      <c r="D416" s="25"/>
      <c r="E416" s="46"/>
      <c r="F416" s="131"/>
      <c r="G416" s="131"/>
      <c r="H416" s="131"/>
      <c r="I416" s="207"/>
      <c r="J416" s="207">
        <f t="shared" si="19"/>
        <v>0</v>
      </c>
    </row>
    <row r="417" spans="1:10" ht="12.75">
      <c r="A417" s="147">
        <f t="shared" si="15"/>
        <v>340</v>
      </c>
      <c r="B417" s="15"/>
      <c r="C417" s="117" t="s">
        <v>51</v>
      </c>
      <c r="D417" s="25"/>
      <c r="E417" s="46">
        <v>6500</v>
      </c>
      <c r="F417" s="131">
        <v>20000</v>
      </c>
      <c r="G417" s="131">
        <v>20000</v>
      </c>
      <c r="H417" s="131">
        <v>21000</v>
      </c>
      <c r="I417" s="207">
        <f t="shared" si="17"/>
        <v>1.05</v>
      </c>
      <c r="J417" s="207">
        <f t="shared" si="19"/>
        <v>0.0003135193737659999</v>
      </c>
    </row>
    <row r="418" spans="1:10" ht="12.75">
      <c r="A418" s="147">
        <f t="shared" si="15"/>
        <v>341</v>
      </c>
      <c r="B418" s="15"/>
      <c r="C418" s="117" t="s">
        <v>61</v>
      </c>
      <c r="D418" s="25"/>
      <c r="E418" s="46">
        <v>10000</v>
      </c>
      <c r="F418" s="131">
        <v>7800</v>
      </c>
      <c r="G418" s="131">
        <v>7800</v>
      </c>
      <c r="H418" s="131">
        <v>8000</v>
      </c>
      <c r="I418" s="207">
        <f t="shared" si="17"/>
        <v>1.0256410256410255</v>
      </c>
      <c r="J418" s="207">
        <f t="shared" si="19"/>
        <v>0.00011943595191085713</v>
      </c>
    </row>
    <row r="419" spans="1:10" ht="12.75">
      <c r="A419" s="147">
        <f t="shared" si="15"/>
        <v>342</v>
      </c>
      <c r="B419" s="15"/>
      <c r="C419" s="117" t="s">
        <v>52</v>
      </c>
      <c r="D419" s="25"/>
      <c r="E419" s="46">
        <v>16200</v>
      </c>
      <c r="F419" s="131">
        <v>21000</v>
      </c>
      <c r="G419" s="131">
        <v>21000</v>
      </c>
      <c r="H419" s="131">
        <v>22000</v>
      </c>
      <c r="I419" s="207">
        <f t="shared" si="17"/>
        <v>1.0476190476190477</v>
      </c>
      <c r="J419" s="207">
        <f t="shared" si="19"/>
        <v>0.0003284488677548571</v>
      </c>
    </row>
    <row r="420" spans="1:10" ht="12.75">
      <c r="A420" s="147">
        <f t="shared" si="15"/>
        <v>343</v>
      </c>
      <c r="B420" s="15">
        <v>4420</v>
      </c>
      <c r="C420" s="117" t="s">
        <v>41</v>
      </c>
      <c r="D420" s="25"/>
      <c r="E420" s="46">
        <v>1600</v>
      </c>
      <c r="F420" s="131">
        <v>28000</v>
      </c>
      <c r="G420" s="131">
        <v>28000</v>
      </c>
      <c r="H420" s="131">
        <v>28800</v>
      </c>
      <c r="I420" s="207">
        <f t="shared" si="17"/>
        <v>1.0285714285714285</v>
      </c>
      <c r="J420" s="207">
        <f t="shared" si="19"/>
        <v>0.00042996942687908567</v>
      </c>
    </row>
    <row r="421" spans="1:10" ht="12.75">
      <c r="A421" s="147">
        <f t="shared" si="15"/>
        <v>344</v>
      </c>
      <c r="B421" s="15">
        <v>4430</v>
      </c>
      <c r="C421" s="117" t="s">
        <v>39</v>
      </c>
      <c r="D421" s="25"/>
      <c r="E421" s="45">
        <f>SUM(E423:E424)</f>
        <v>5100</v>
      </c>
      <c r="F421" s="28">
        <f>SUM(F423:F426)</f>
        <v>31650</v>
      </c>
      <c r="G421" s="28">
        <f>SUM(G423:G426)</f>
        <v>31649.399999999998</v>
      </c>
      <c r="H421" s="28">
        <f>SUM(H423:H426)</f>
        <v>22600</v>
      </c>
      <c r="I421" s="207">
        <f t="shared" si="17"/>
        <v>0.7140735685352645</v>
      </c>
      <c r="J421" s="207">
        <f t="shared" si="19"/>
        <v>0.0003374065641481714</v>
      </c>
    </row>
    <row r="422" spans="1:10" ht="12.75">
      <c r="A422" s="147">
        <f t="shared" si="15"/>
        <v>345</v>
      </c>
      <c r="B422" s="15"/>
      <c r="C422" s="117" t="s">
        <v>15</v>
      </c>
      <c r="D422" s="25"/>
      <c r="E422" s="46"/>
      <c r="F422" s="131"/>
      <c r="G422" s="131"/>
      <c r="H422" s="131"/>
      <c r="I422" s="207"/>
      <c r="J422" s="207"/>
    </row>
    <row r="423" spans="1:10" ht="12.75">
      <c r="A423" s="147">
        <f t="shared" si="15"/>
        <v>346</v>
      </c>
      <c r="B423" s="15"/>
      <c r="C423" s="117" t="s">
        <v>76</v>
      </c>
      <c r="D423" s="25"/>
      <c r="E423" s="46">
        <v>5100</v>
      </c>
      <c r="F423" s="131">
        <v>11250</v>
      </c>
      <c r="G423" s="131">
        <v>11250</v>
      </c>
      <c r="H423" s="131">
        <v>17000</v>
      </c>
      <c r="I423" s="207">
        <f t="shared" si="17"/>
        <v>1.511111111111111</v>
      </c>
      <c r="J423" s="207">
        <f aca="true" t="shared" si="20" ref="J423:J432">H423/$H$1431</f>
        <v>0.0002538013978105714</v>
      </c>
    </row>
    <row r="424" spans="1:10" ht="12.75">
      <c r="A424" s="147">
        <f t="shared" si="15"/>
        <v>347</v>
      </c>
      <c r="B424" s="15"/>
      <c r="C424" s="117" t="s">
        <v>167</v>
      </c>
      <c r="D424" s="25"/>
      <c r="E424" s="46">
        <v>0</v>
      </c>
      <c r="F424" s="131">
        <v>2453.6</v>
      </c>
      <c r="G424" s="131">
        <v>2453.6</v>
      </c>
      <c r="H424" s="131">
        <v>2600</v>
      </c>
      <c r="I424" s="207">
        <f t="shared" si="17"/>
        <v>1.0596674274535376</v>
      </c>
      <c r="J424" s="207">
        <f t="shared" si="20"/>
        <v>3.8816684371028566E-05</v>
      </c>
    </row>
    <row r="425" spans="1:10" ht="12.75">
      <c r="A425" s="147">
        <f t="shared" si="15"/>
        <v>348</v>
      </c>
      <c r="B425" s="15"/>
      <c r="C425" s="117" t="s">
        <v>267</v>
      </c>
      <c r="D425" s="25"/>
      <c r="E425" s="46"/>
      <c r="F425" s="131">
        <v>10000</v>
      </c>
      <c r="G425" s="131">
        <v>10000</v>
      </c>
      <c r="H425" s="131">
        <v>0</v>
      </c>
      <c r="I425" s="207">
        <f t="shared" si="17"/>
        <v>0</v>
      </c>
      <c r="J425" s="207">
        <f t="shared" si="20"/>
        <v>0</v>
      </c>
    </row>
    <row r="426" spans="1:10" ht="12.75">
      <c r="A426" s="147">
        <f t="shared" si="15"/>
        <v>349</v>
      </c>
      <c r="B426" s="15"/>
      <c r="C426" s="117" t="s">
        <v>578</v>
      </c>
      <c r="D426" s="25"/>
      <c r="E426" s="46"/>
      <c r="F426" s="131">
        <v>7946.4</v>
      </c>
      <c r="G426" s="131">
        <v>7945.8</v>
      </c>
      <c r="H426" s="131">
        <v>3000</v>
      </c>
      <c r="I426" s="207">
        <f t="shared" si="17"/>
        <v>0.3775579551461149</v>
      </c>
      <c r="J426" s="207">
        <f t="shared" si="20"/>
        <v>4.478848196657142E-05</v>
      </c>
    </row>
    <row r="427" spans="1:10" ht="12.75">
      <c r="A427" s="147">
        <f t="shared" si="15"/>
        <v>350</v>
      </c>
      <c r="B427" s="15">
        <v>4440</v>
      </c>
      <c r="C427" s="117" t="s">
        <v>434</v>
      </c>
      <c r="D427" s="25"/>
      <c r="E427" s="46">
        <v>17500</v>
      </c>
      <c r="F427" s="131">
        <v>33887</v>
      </c>
      <c r="G427" s="131">
        <v>33887</v>
      </c>
      <c r="H427" s="131">
        <v>34870</v>
      </c>
      <c r="I427" s="207">
        <f t="shared" si="17"/>
        <v>1.0290081742261044</v>
      </c>
      <c r="J427" s="207">
        <f t="shared" si="20"/>
        <v>0.0005205914553914484</v>
      </c>
    </row>
    <row r="428" spans="1:10" ht="12.75">
      <c r="A428" s="147">
        <f t="shared" si="15"/>
        <v>351</v>
      </c>
      <c r="B428" s="15">
        <v>4510</v>
      </c>
      <c r="C428" s="117" t="s">
        <v>493</v>
      </c>
      <c r="D428" s="25"/>
      <c r="E428" s="46"/>
      <c r="F428" s="131">
        <f>SUM(F430:F431)</f>
        <v>450</v>
      </c>
      <c r="G428" s="131">
        <f>SUM(G430:G431)</f>
        <v>450</v>
      </c>
      <c r="H428" s="131">
        <f>SUM(H430:H431)</f>
        <v>16500</v>
      </c>
      <c r="I428" s="207">
        <f t="shared" si="17"/>
        <v>36.666666666666664</v>
      </c>
      <c r="J428" s="207">
        <f>H428/$H$1431</f>
        <v>0.00024633665081614283</v>
      </c>
    </row>
    <row r="429" spans="1:10" ht="12.75">
      <c r="A429" s="147">
        <f t="shared" si="15"/>
        <v>352</v>
      </c>
      <c r="B429" s="15"/>
      <c r="C429" s="117" t="s">
        <v>15</v>
      </c>
      <c r="D429" s="25"/>
      <c r="E429" s="46"/>
      <c r="F429" s="131"/>
      <c r="G429" s="131"/>
      <c r="H429" s="131"/>
      <c r="I429" s="207"/>
      <c r="J429" s="207"/>
    </row>
    <row r="430" spans="1:10" ht="12.75">
      <c r="A430" s="147">
        <f t="shared" si="15"/>
        <v>353</v>
      </c>
      <c r="B430" s="15"/>
      <c r="C430" s="117" t="s">
        <v>619</v>
      </c>
      <c r="D430" s="25"/>
      <c r="E430" s="46"/>
      <c r="F430" s="131">
        <v>450</v>
      </c>
      <c r="G430" s="131">
        <v>450</v>
      </c>
      <c r="H430" s="131">
        <v>0</v>
      </c>
      <c r="I430" s="207">
        <f t="shared" si="17"/>
        <v>0</v>
      </c>
      <c r="J430" s="207">
        <f>H430/$H$1431</f>
        <v>0</v>
      </c>
    </row>
    <row r="431" spans="1:10" ht="12.75">
      <c r="A431" s="147">
        <f t="shared" si="15"/>
        <v>354</v>
      </c>
      <c r="B431" s="15"/>
      <c r="C431" s="117" t="s">
        <v>620</v>
      </c>
      <c r="D431" s="25"/>
      <c r="E431" s="46"/>
      <c r="F431" s="131">
        <v>0</v>
      </c>
      <c r="G431" s="131">
        <v>0</v>
      </c>
      <c r="H431" s="131">
        <v>16500</v>
      </c>
      <c r="I431" s="207"/>
      <c r="J431" s="207">
        <f>H431/$H$1431</f>
        <v>0.00024633665081614283</v>
      </c>
    </row>
    <row r="432" spans="1:10" ht="12.75">
      <c r="A432" s="147">
        <f t="shared" si="15"/>
        <v>355</v>
      </c>
      <c r="B432" s="15">
        <v>4610</v>
      </c>
      <c r="C432" s="117" t="s">
        <v>433</v>
      </c>
      <c r="D432" s="25"/>
      <c r="E432" s="46">
        <v>37000</v>
      </c>
      <c r="F432" s="131">
        <f>SUM(F434:F435)</f>
        <v>40000</v>
      </c>
      <c r="G432" s="131">
        <f>SUM(G434:G435)</f>
        <v>40000</v>
      </c>
      <c r="H432" s="131">
        <f>SUM(H434:H435)</f>
        <v>41500</v>
      </c>
      <c r="I432" s="207">
        <f t="shared" si="17"/>
        <v>1.0375</v>
      </c>
      <c r="J432" s="207">
        <f t="shared" si="20"/>
        <v>0.0006195740005375713</v>
      </c>
    </row>
    <row r="433" spans="1:10" ht="12.75">
      <c r="A433" s="147">
        <f t="shared" si="15"/>
        <v>356</v>
      </c>
      <c r="B433" s="15"/>
      <c r="C433" s="117" t="s">
        <v>15</v>
      </c>
      <c r="D433" s="25"/>
      <c r="E433" s="46"/>
      <c r="F433" s="131"/>
      <c r="G433" s="131"/>
      <c r="H433" s="131"/>
      <c r="I433" s="207"/>
      <c r="J433" s="207"/>
    </row>
    <row r="434" spans="1:10" ht="12.75">
      <c r="A434" s="147">
        <f t="shared" si="15"/>
        <v>357</v>
      </c>
      <c r="B434" s="15"/>
      <c r="C434" s="117" t="s">
        <v>269</v>
      </c>
      <c r="D434" s="25"/>
      <c r="E434" s="46"/>
      <c r="F434" s="131">
        <v>33000</v>
      </c>
      <c r="G434" s="131">
        <v>33000</v>
      </c>
      <c r="H434" s="131">
        <v>34000</v>
      </c>
      <c r="I434" s="207">
        <f t="shared" si="17"/>
        <v>1.0303030303030303</v>
      </c>
      <c r="J434" s="207">
        <f>H434/$H$1431</f>
        <v>0.0005076027956211428</v>
      </c>
    </row>
    <row r="435" spans="1:10" ht="12.75">
      <c r="A435" s="147">
        <f t="shared" si="15"/>
        <v>358</v>
      </c>
      <c r="B435" s="15"/>
      <c r="C435" s="117" t="s">
        <v>268</v>
      </c>
      <c r="D435" s="25"/>
      <c r="E435" s="46"/>
      <c r="F435" s="131">
        <v>7000</v>
      </c>
      <c r="G435" s="131">
        <v>7000</v>
      </c>
      <c r="H435" s="131">
        <v>7500</v>
      </c>
      <c r="I435" s="207">
        <f t="shared" si="17"/>
        <v>1.0714285714285714</v>
      </c>
      <c r="J435" s="207">
        <f>H435/$H$1431</f>
        <v>0.00011197120491642855</v>
      </c>
    </row>
    <row r="436" spans="1:10" ht="12.75">
      <c r="A436" s="147">
        <f t="shared" si="15"/>
        <v>359</v>
      </c>
      <c r="B436" s="15">
        <v>4700</v>
      </c>
      <c r="C436" s="117" t="s">
        <v>297</v>
      </c>
      <c r="D436" s="25"/>
      <c r="E436" s="46"/>
      <c r="F436" s="131"/>
      <c r="G436" s="131"/>
      <c r="H436" s="131"/>
      <c r="I436" s="207"/>
      <c r="J436" s="207"/>
    </row>
    <row r="437" spans="1:10" ht="12.75">
      <c r="A437" s="147">
        <f t="shared" si="15"/>
        <v>360</v>
      </c>
      <c r="B437" s="15"/>
      <c r="C437" s="117" t="s">
        <v>296</v>
      </c>
      <c r="D437" s="25"/>
      <c r="E437" s="46"/>
      <c r="F437" s="131">
        <v>43700</v>
      </c>
      <c r="G437" s="131">
        <v>43700</v>
      </c>
      <c r="H437" s="131">
        <v>45000</v>
      </c>
      <c r="I437" s="207">
        <f t="shared" si="17"/>
        <v>1.0297482837528604</v>
      </c>
      <c r="J437" s="207">
        <f>H437/$H$1431</f>
        <v>0.0006718272294985714</v>
      </c>
    </row>
    <row r="438" spans="1:10" ht="12.75">
      <c r="A438" s="147">
        <f t="shared" si="15"/>
        <v>361</v>
      </c>
      <c r="B438" s="15">
        <v>4740</v>
      </c>
      <c r="C438" s="117" t="s">
        <v>270</v>
      </c>
      <c r="D438" s="25"/>
      <c r="E438" s="46"/>
      <c r="F438" s="131"/>
      <c r="G438" s="131"/>
      <c r="H438" s="131"/>
      <c r="I438" s="207"/>
      <c r="J438" s="207"/>
    </row>
    <row r="439" spans="1:10" ht="12.75">
      <c r="A439" s="147">
        <f t="shared" si="15"/>
        <v>362</v>
      </c>
      <c r="B439" s="15"/>
      <c r="C439" s="117" t="s">
        <v>271</v>
      </c>
      <c r="D439" s="25"/>
      <c r="E439" s="46"/>
      <c r="F439" s="131">
        <v>6650</v>
      </c>
      <c r="G439" s="131">
        <v>6650</v>
      </c>
      <c r="H439" s="131">
        <v>11450</v>
      </c>
      <c r="I439" s="207">
        <f t="shared" si="17"/>
        <v>1.7218045112781954</v>
      </c>
      <c r="J439" s="207">
        <f>H439/$H$1431</f>
        <v>0.00017094270617241426</v>
      </c>
    </row>
    <row r="440" spans="1:10" ht="12.75">
      <c r="A440" s="147"/>
      <c r="B440" s="15"/>
      <c r="C440" s="117"/>
      <c r="D440" s="25"/>
      <c r="E440" s="46"/>
      <c r="F440" s="131"/>
      <c r="G440" s="131"/>
      <c r="H440" s="131"/>
      <c r="I440" s="207"/>
      <c r="J440" s="207"/>
    </row>
    <row r="441" spans="1:10" ht="12.75">
      <c r="A441" s="147">
        <f>A439+1</f>
        <v>363</v>
      </c>
      <c r="B441" s="15">
        <v>4750</v>
      </c>
      <c r="C441" s="117" t="s">
        <v>272</v>
      </c>
      <c r="D441" s="25"/>
      <c r="E441" s="46"/>
      <c r="F441" s="131"/>
      <c r="G441" s="131"/>
      <c r="H441" s="131"/>
      <c r="I441" s="207"/>
      <c r="J441" s="207"/>
    </row>
    <row r="442" spans="1:10" ht="12.75">
      <c r="A442" s="147">
        <f t="shared" si="15"/>
        <v>364</v>
      </c>
      <c r="B442" s="15"/>
      <c r="C442" s="117" t="s">
        <v>273</v>
      </c>
      <c r="D442" s="25"/>
      <c r="E442" s="46"/>
      <c r="F442" s="131">
        <f>SUM(F444:F446)</f>
        <v>50798.65</v>
      </c>
      <c r="G442" s="131">
        <f>SUM(G444:G446)</f>
        <v>50798.65</v>
      </c>
      <c r="H442" s="131">
        <f>SUM(H444:H446)</f>
        <v>63930</v>
      </c>
      <c r="I442" s="207">
        <f t="shared" si="17"/>
        <v>1.2584980112660473</v>
      </c>
      <c r="J442" s="207">
        <f>H442/$H$1431</f>
        <v>0.0009544425507076369</v>
      </c>
    </row>
    <row r="443" spans="1:10" ht="12.75">
      <c r="A443" s="147">
        <f t="shared" si="15"/>
        <v>365</v>
      </c>
      <c r="B443" s="15"/>
      <c r="C443" s="117" t="s">
        <v>15</v>
      </c>
      <c r="D443" s="25"/>
      <c r="E443" s="46"/>
      <c r="F443" s="131"/>
      <c r="G443" s="131"/>
      <c r="H443" s="131"/>
      <c r="I443" s="207"/>
      <c r="J443" s="207"/>
    </row>
    <row r="444" spans="1:10" ht="12.75">
      <c r="A444" s="147">
        <f t="shared" si="15"/>
        <v>366</v>
      </c>
      <c r="B444" s="15"/>
      <c r="C444" s="117" t="s">
        <v>347</v>
      </c>
      <c r="D444" s="25"/>
      <c r="E444" s="46"/>
      <c r="F444" s="131">
        <v>4220</v>
      </c>
      <c r="G444" s="131">
        <v>4220</v>
      </c>
      <c r="H444" s="131">
        <v>10000</v>
      </c>
      <c r="I444" s="207">
        <f t="shared" si="17"/>
        <v>2.3696682464454977</v>
      </c>
      <c r="J444" s="207">
        <f>H444/$H$1431</f>
        <v>0.00014929493988857142</v>
      </c>
    </row>
    <row r="445" spans="1:10" ht="12.75">
      <c r="A445" s="147">
        <f t="shared" si="15"/>
        <v>367</v>
      </c>
      <c r="B445" s="15"/>
      <c r="C445" s="117" t="s">
        <v>293</v>
      </c>
      <c r="D445" s="25"/>
      <c r="E445" s="46"/>
      <c r="F445" s="131">
        <v>36648.65</v>
      </c>
      <c r="G445" s="131">
        <v>36648.65</v>
      </c>
      <c r="H445" s="131">
        <v>45000</v>
      </c>
      <c r="I445" s="207">
        <f t="shared" si="17"/>
        <v>1.2278760609190242</v>
      </c>
      <c r="J445" s="207">
        <f>H445/$H$1431</f>
        <v>0.0006718272294985714</v>
      </c>
    </row>
    <row r="446" spans="1:10" ht="12.75">
      <c r="A446" s="147">
        <f t="shared" si="15"/>
        <v>368</v>
      </c>
      <c r="B446" s="15"/>
      <c r="C446" s="117" t="s">
        <v>494</v>
      </c>
      <c r="D446" s="25"/>
      <c r="E446" s="46"/>
      <c r="F446" s="131">
        <v>9930</v>
      </c>
      <c r="G446" s="131">
        <v>9930</v>
      </c>
      <c r="H446" s="131">
        <v>8930</v>
      </c>
      <c r="I446" s="207">
        <f t="shared" si="17"/>
        <v>0.8992950654582075</v>
      </c>
      <c r="J446" s="207">
        <f>H446/$H$1431</f>
        <v>0.00013332038132049425</v>
      </c>
    </row>
    <row r="447" spans="1:10" ht="12.75">
      <c r="A447" s="147">
        <f>A446+1</f>
        <v>369</v>
      </c>
      <c r="B447" s="15">
        <v>6050</v>
      </c>
      <c r="C447" s="117" t="s">
        <v>182</v>
      </c>
      <c r="D447" s="25"/>
      <c r="E447" s="46"/>
      <c r="F447" s="131">
        <f>SUM(F449:F453)</f>
        <v>58050</v>
      </c>
      <c r="G447" s="131">
        <f>SUM(G449:G453)</f>
        <v>57047.62</v>
      </c>
      <c r="H447" s="131">
        <f>SUM(H449:H453)</f>
        <v>234000</v>
      </c>
      <c r="I447" s="207">
        <f t="shared" si="17"/>
        <v>4.101836325511914</v>
      </c>
      <c r="J447" s="207">
        <f>H447/$H$1431</f>
        <v>0.0034935015933925707</v>
      </c>
    </row>
    <row r="448" spans="1:10" ht="12.75">
      <c r="A448" s="147">
        <f t="shared" si="15"/>
        <v>370</v>
      </c>
      <c r="B448" s="15"/>
      <c r="C448" s="117" t="s">
        <v>15</v>
      </c>
      <c r="D448" s="25"/>
      <c r="E448" s="46"/>
      <c r="F448" s="131"/>
      <c r="G448" s="131"/>
      <c r="H448" s="131"/>
      <c r="I448" s="207"/>
      <c r="J448" s="207"/>
    </row>
    <row r="449" spans="1:10" ht="12.75">
      <c r="A449" s="147">
        <f t="shared" si="15"/>
        <v>371</v>
      </c>
      <c r="B449" s="15"/>
      <c r="C449" s="117" t="s">
        <v>400</v>
      </c>
      <c r="D449" s="25"/>
      <c r="E449" s="46"/>
      <c r="F449" s="131">
        <v>58050</v>
      </c>
      <c r="G449" s="131">
        <v>57047.62</v>
      </c>
      <c r="H449" s="131">
        <v>0</v>
      </c>
      <c r="I449" s="207">
        <f t="shared" si="17"/>
        <v>0</v>
      </c>
      <c r="J449" s="207">
        <f>H449/$H$1431</f>
        <v>0</v>
      </c>
    </row>
    <row r="450" spans="1:10" ht="12.75">
      <c r="A450" s="147">
        <f aca="true" t="shared" si="21" ref="A450:A456">A449+1</f>
        <v>372</v>
      </c>
      <c r="B450" s="15"/>
      <c r="C450" s="117" t="s">
        <v>415</v>
      </c>
      <c r="D450" s="25"/>
      <c r="E450" s="46"/>
      <c r="F450" s="131"/>
      <c r="G450" s="131"/>
      <c r="H450" s="213"/>
      <c r="I450" s="210"/>
      <c r="J450" s="207"/>
    </row>
    <row r="451" spans="1:10" ht="12.75">
      <c r="A451" s="147">
        <f t="shared" si="21"/>
        <v>373</v>
      </c>
      <c r="B451" s="15"/>
      <c r="C451" s="119" t="s">
        <v>686</v>
      </c>
      <c r="D451" s="25"/>
      <c r="E451" s="46"/>
      <c r="F451" s="131"/>
      <c r="G451" s="131"/>
      <c r="H451" s="213"/>
      <c r="I451" s="210"/>
      <c r="J451" s="207"/>
    </row>
    <row r="452" spans="1:10" ht="12.75">
      <c r="A452" s="147">
        <f t="shared" si="21"/>
        <v>374</v>
      </c>
      <c r="B452" s="15"/>
      <c r="C452" s="119" t="s">
        <v>687</v>
      </c>
      <c r="D452" s="25"/>
      <c r="E452" s="46"/>
      <c r="F452" s="28">
        <v>0</v>
      </c>
      <c r="G452" s="213">
        <v>0</v>
      </c>
      <c r="H452" s="28">
        <f>165000+8000+25000+17000+10000</f>
        <v>225000</v>
      </c>
      <c r="I452" s="207"/>
      <c r="J452" s="207">
        <f>H452/$H$1431</f>
        <v>0.0033591361474928564</v>
      </c>
    </row>
    <row r="453" spans="1:10" ht="12.75">
      <c r="A453" s="147">
        <f t="shared" si="21"/>
        <v>375</v>
      </c>
      <c r="B453" s="15"/>
      <c r="C453" s="101" t="s">
        <v>688</v>
      </c>
      <c r="D453" s="25"/>
      <c r="E453" s="46"/>
      <c r="F453" s="214">
        <v>0</v>
      </c>
      <c r="G453" s="28">
        <v>0</v>
      </c>
      <c r="H453" s="28">
        <v>9000</v>
      </c>
      <c r="I453" s="207"/>
      <c r="J453" s="207">
        <f>H453/$H$1431</f>
        <v>0.00013436544589971427</v>
      </c>
    </row>
    <row r="454" spans="1:10" ht="12.75">
      <c r="A454" s="147">
        <f t="shared" si="21"/>
        <v>376</v>
      </c>
      <c r="B454" s="15">
        <v>6060</v>
      </c>
      <c r="C454" s="117" t="s">
        <v>151</v>
      </c>
      <c r="D454" s="25"/>
      <c r="E454" s="45" t="e">
        <f>SUM(#REF!)</f>
        <v>#REF!</v>
      </c>
      <c r="F454" s="28">
        <f>SUM(F456:F459)</f>
        <v>117000</v>
      </c>
      <c r="G454" s="28">
        <f>SUM(G456:G459)</f>
        <v>117000</v>
      </c>
      <c r="H454" s="214">
        <f>SUM(H456:H459)</f>
        <v>80000</v>
      </c>
      <c r="I454" s="210">
        <f t="shared" si="17"/>
        <v>0.6837606837606838</v>
      </c>
      <c r="J454" s="207">
        <f>H454/$H$1431</f>
        <v>0.0011943595191085713</v>
      </c>
    </row>
    <row r="455" spans="1:10" ht="12.75">
      <c r="A455" s="147">
        <f t="shared" si="21"/>
        <v>377</v>
      </c>
      <c r="B455" s="15"/>
      <c r="C455" s="117" t="s">
        <v>15</v>
      </c>
      <c r="D455" s="25"/>
      <c r="E455" s="46"/>
      <c r="F455" s="131"/>
      <c r="G455" s="131"/>
      <c r="H455" s="131"/>
      <c r="I455" s="207"/>
      <c r="J455" s="207"/>
    </row>
    <row r="456" spans="1:10" ht="12.75">
      <c r="A456" s="147">
        <f t="shared" si="21"/>
        <v>378</v>
      </c>
      <c r="B456" s="15"/>
      <c r="C456" s="117" t="s">
        <v>547</v>
      </c>
      <c r="D456" s="25"/>
      <c r="E456" s="46"/>
      <c r="F456" s="131">
        <v>50000</v>
      </c>
      <c r="G456" s="131">
        <v>50000</v>
      </c>
      <c r="H456" s="131">
        <v>0</v>
      </c>
      <c r="I456" s="207">
        <f t="shared" si="17"/>
        <v>0</v>
      </c>
      <c r="J456" s="207"/>
    </row>
    <row r="457" spans="1:10" ht="12.75">
      <c r="A457" s="147">
        <f aca="true" t="shared" si="22" ref="A457:A508">A456+1</f>
        <v>379</v>
      </c>
      <c r="B457" s="15"/>
      <c r="C457" s="117" t="s">
        <v>495</v>
      </c>
      <c r="D457" s="25"/>
      <c r="E457" s="46"/>
      <c r="F457" s="131">
        <v>22300</v>
      </c>
      <c r="G457" s="131">
        <v>22300</v>
      </c>
      <c r="H457" s="131">
        <v>30000</v>
      </c>
      <c r="I457" s="207">
        <f t="shared" si="17"/>
        <v>1.345291479820628</v>
      </c>
      <c r="J457" s="207">
        <f aca="true" t="shared" si="23" ref="J457:J466">H457/$H$1431</f>
        <v>0.0004478848196657142</v>
      </c>
    </row>
    <row r="458" spans="1:10" ht="12.75">
      <c r="A458" s="147">
        <f t="shared" si="22"/>
        <v>380</v>
      </c>
      <c r="B458" s="15"/>
      <c r="C458" s="117" t="s">
        <v>496</v>
      </c>
      <c r="D458" s="25"/>
      <c r="E458" s="46"/>
      <c r="F458" s="131">
        <v>44700</v>
      </c>
      <c r="G458" s="131">
        <v>44700</v>
      </c>
      <c r="H458" s="131">
        <v>0</v>
      </c>
      <c r="I458" s="207">
        <f aca="true" t="shared" si="24" ref="I458:I519">H458/G458</f>
        <v>0</v>
      </c>
      <c r="J458" s="207">
        <f t="shared" si="23"/>
        <v>0</v>
      </c>
    </row>
    <row r="459" spans="1:10" ht="12.75">
      <c r="A459" s="147">
        <f t="shared" si="22"/>
        <v>381</v>
      </c>
      <c r="B459" s="15"/>
      <c r="C459" s="119" t="s">
        <v>580</v>
      </c>
      <c r="D459" s="25"/>
      <c r="E459" s="46"/>
      <c r="F459" s="131">
        <v>0</v>
      </c>
      <c r="G459" s="131">
        <v>0</v>
      </c>
      <c r="H459" s="131">
        <v>50000</v>
      </c>
      <c r="I459" s="207"/>
      <c r="J459" s="207">
        <f>H459/$H$1431</f>
        <v>0.000746474699442857</v>
      </c>
    </row>
    <row r="460" spans="1:10" s="73" customFormat="1" ht="12.75">
      <c r="A460" s="147">
        <f t="shared" si="22"/>
        <v>382</v>
      </c>
      <c r="B460" s="75">
        <v>75045</v>
      </c>
      <c r="C460" s="118" t="s">
        <v>77</v>
      </c>
      <c r="D460" s="63"/>
      <c r="E460" s="64">
        <f>E461</f>
        <v>500</v>
      </c>
      <c r="F460" s="63">
        <f>SUM(F461:F462)</f>
        <v>600</v>
      </c>
      <c r="G460" s="63">
        <f>SUM(G461:G462)</f>
        <v>600</v>
      </c>
      <c r="H460" s="63">
        <f>SUM(H461:H462)</f>
        <v>600</v>
      </c>
      <c r="I460" s="207">
        <f t="shared" si="24"/>
        <v>1</v>
      </c>
      <c r="J460" s="207">
        <f t="shared" si="23"/>
        <v>8.957696393314284E-06</v>
      </c>
    </row>
    <row r="461" spans="1:10" s="60" customFormat="1" ht="12.75">
      <c r="A461" s="147">
        <f t="shared" si="22"/>
        <v>383</v>
      </c>
      <c r="B461" s="81">
        <v>4300</v>
      </c>
      <c r="C461" s="117" t="s">
        <v>130</v>
      </c>
      <c r="D461" s="84"/>
      <c r="E461" s="83">
        <v>500</v>
      </c>
      <c r="F461" s="136">
        <v>500</v>
      </c>
      <c r="G461" s="136">
        <v>500</v>
      </c>
      <c r="H461" s="136">
        <v>600</v>
      </c>
      <c r="I461" s="207">
        <f t="shared" si="24"/>
        <v>1.2</v>
      </c>
      <c r="J461" s="207">
        <f t="shared" si="23"/>
        <v>8.957696393314284E-06</v>
      </c>
    </row>
    <row r="462" spans="1:10" s="60" customFormat="1" ht="12.75">
      <c r="A462" s="147">
        <f t="shared" si="22"/>
        <v>384</v>
      </c>
      <c r="B462" s="81">
        <v>4410</v>
      </c>
      <c r="C462" s="117" t="s">
        <v>29</v>
      </c>
      <c r="D462" s="84"/>
      <c r="E462" s="83"/>
      <c r="F462" s="136">
        <v>100</v>
      </c>
      <c r="G462" s="136">
        <v>100</v>
      </c>
      <c r="H462" s="136">
        <v>0</v>
      </c>
      <c r="I462" s="207">
        <f t="shared" si="24"/>
        <v>0</v>
      </c>
      <c r="J462" s="207">
        <f t="shared" si="23"/>
        <v>0</v>
      </c>
    </row>
    <row r="463" spans="1:10" s="166" customFormat="1" ht="12.75">
      <c r="A463" s="147">
        <f t="shared" si="22"/>
        <v>385</v>
      </c>
      <c r="B463" s="204">
        <v>75075</v>
      </c>
      <c r="C463" s="149" t="s">
        <v>497</v>
      </c>
      <c r="D463" s="146"/>
      <c r="E463" s="150"/>
      <c r="F463" s="151">
        <f>+F464+F465+F466+F486+F488+F490</f>
        <v>1286500</v>
      </c>
      <c r="G463" s="151">
        <f>+G464+G465+G466+G486+G488+G490</f>
        <v>1286500</v>
      </c>
      <c r="H463" s="151">
        <f>+H464+H465+H466+H486+H488+H490</f>
        <v>1167000</v>
      </c>
      <c r="I463" s="207">
        <f t="shared" si="24"/>
        <v>0.9071123202487369</v>
      </c>
      <c r="J463" s="207">
        <f t="shared" si="23"/>
        <v>0.017422719484996282</v>
      </c>
    </row>
    <row r="464" spans="1:10" s="60" customFormat="1" ht="12.75">
      <c r="A464" s="147">
        <f t="shared" si="22"/>
        <v>386</v>
      </c>
      <c r="B464" s="81">
        <v>4170</v>
      </c>
      <c r="C464" s="117" t="s">
        <v>211</v>
      </c>
      <c r="D464" s="84"/>
      <c r="E464" s="83"/>
      <c r="F464" s="136">
        <v>900</v>
      </c>
      <c r="G464" s="136">
        <v>900</v>
      </c>
      <c r="H464" s="136">
        <v>0</v>
      </c>
      <c r="I464" s="207">
        <f t="shared" si="24"/>
        <v>0</v>
      </c>
      <c r="J464" s="207">
        <f t="shared" si="23"/>
        <v>0</v>
      </c>
    </row>
    <row r="465" spans="1:10" s="60" customFormat="1" ht="12.75">
      <c r="A465" s="147">
        <f t="shared" si="22"/>
        <v>387</v>
      </c>
      <c r="B465" s="81">
        <v>4210</v>
      </c>
      <c r="C465" s="117" t="s">
        <v>498</v>
      </c>
      <c r="D465" s="84"/>
      <c r="E465" s="83"/>
      <c r="F465" s="136">
        <v>64000</v>
      </c>
      <c r="G465" s="136">
        <v>64000</v>
      </c>
      <c r="H465" s="136">
        <v>60000</v>
      </c>
      <c r="I465" s="207">
        <f t="shared" si="24"/>
        <v>0.9375</v>
      </c>
      <c r="J465" s="207">
        <f t="shared" si="23"/>
        <v>0.0008957696393314284</v>
      </c>
    </row>
    <row r="466" spans="1:10" s="60" customFormat="1" ht="12.75">
      <c r="A466" s="147">
        <f t="shared" si="22"/>
        <v>388</v>
      </c>
      <c r="B466" s="81">
        <v>4260</v>
      </c>
      <c r="C466" s="117" t="s">
        <v>134</v>
      </c>
      <c r="D466" s="84"/>
      <c r="E466" s="83"/>
      <c r="F466" s="136">
        <v>1000</v>
      </c>
      <c r="G466" s="136">
        <v>1000</v>
      </c>
      <c r="H466" s="136">
        <v>0</v>
      </c>
      <c r="I466" s="207">
        <f t="shared" si="24"/>
        <v>0</v>
      </c>
      <c r="J466" s="207">
        <f t="shared" si="23"/>
        <v>0</v>
      </c>
    </row>
    <row r="467" spans="1:10" s="60" customFormat="1" ht="12.75">
      <c r="A467" s="147">
        <f t="shared" si="22"/>
        <v>389</v>
      </c>
      <c r="B467" s="81">
        <v>4300</v>
      </c>
      <c r="C467" s="117" t="s">
        <v>130</v>
      </c>
      <c r="D467" s="84"/>
      <c r="E467" s="83"/>
      <c r="F467" s="136"/>
      <c r="G467" s="136"/>
      <c r="H467" s="136"/>
      <c r="I467" s="207"/>
      <c r="J467" s="207"/>
    </row>
    <row r="468" spans="1:10" s="60" customFormat="1" ht="12.75">
      <c r="A468" s="147">
        <f t="shared" si="22"/>
        <v>390</v>
      </c>
      <c r="B468" s="81"/>
      <c r="C468" s="119" t="s">
        <v>321</v>
      </c>
      <c r="D468" s="84"/>
      <c r="E468" s="83"/>
      <c r="F468" s="136"/>
      <c r="G468" s="136"/>
      <c r="H468" s="136"/>
      <c r="I468" s="207"/>
      <c r="J468" s="207"/>
    </row>
    <row r="469" spans="1:10" s="60" customFormat="1" ht="12.75">
      <c r="A469" s="147">
        <f t="shared" si="22"/>
        <v>391</v>
      </c>
      <c r="B469" s="81"/>
      <c r="C469" s="119" t="s">
        <v>310</v>
      </c>
      <c r="D469" s="84"/>
      <c r="E469" s="83"/>
      <c r="F469" s="136"/>
      <c r="G469" s="136"/>
      <c r="H469" s="136"/>
      <c r="I469" s="207"/>
      <c r="J469" s="207"/>
    </row>
    <row r="470" spans="1:10" s="60" customFormat="1" ht="12.75">
      <c r="A470" s="147">
        <f t="shared" si="22"/>
        <v>392</v>
      </c>
      <c r="B470" s="81"/>
      <c r="C470" s="119" t="s">
        <v>311</v>
      </c>
      <c r="D470" s="84"/>
      <c r="E470" s="83"/>
      <c r="F470" s="136"/>
      <c r="G470" s="136"/>
      <c r="H470" s="136"/>
      <c r="I470" s="207"/>
      <c r="J470" s="207"/>
    </row>
    <row r="471" spans="1:10" s="60" customFormat="1" ht="12.75">
      <c r="A471" s="147">
        <f t="shared" si="22"/>
        <v>393</v>
      </c>
      <c r="B471" s="81"/>
      <c r="C471" s="119" t="s">
        <v>312</v>
      </c>
      <c r="D471" s="84"/>
      <c r="E471" s="83"/>
      <c r="F471" s="136"/>
      <c r="G471" s="136"/>
      <c r="H471" s="136"/>
      <c r="I471" s="207"/>
      <c r="J471" s="207"/>
    </row>
    <row r="472" spans="1:10" s="60" customFormat="1" ht="12.75">
      <c r="A472" s="147">
        <f t="shared" si="22"/>
        <v>394</v>
      </c>
      <c r="B472" s="81"/>
      <c r="C472" s="119" t="s">
        <v>313</v>
      </c>
      <c r="D472" s="84"/>
      <c r="E472" s="83"/>
      <c r="F472" s="136"/>
      <c r="G472" s="136"/>
      <c r="H472" s="136"/>
      <c r="I472" s="207"/>
      <c r="J472" s="207"/>
    </row>
    <row r="473" spans="1:10" s="60" customFormat="1" ht="12.75">
      <c r="A473" s="147">
        <f t="shared" si="22"/>
        <v>395</v>
      </c>
      <c r="B473" s="81"/>
      <c r="C473" s="119" t="s">
        <v>314</v>
      </c>
      <c r="D473" s="84"/>
      <c r="E473" s="83"/>
      <c r="F473" s="136"/>
      <c r="G473" s="136"/>
      <c r="H473" s="136"/>
      <c r="I473" s="207"/>
      <c r="J473" s="207"/>
    </row>
    <row r="474" spans="1:10" s="60" customFormat="1" ht="12.75">
      <c r="A474" s="147">
        <f t="shared" si="22"/>
        <v>396</v>
      </c>
      <c r="B474" s="81"/>
      <c r="C474" s="119" t="s">
        <v>315</v>
      </c>
      <c r="D474" s="84"/>
      <c r="E474" s="83"/>
      <c r="F474" s="136"/>
      <c r="G474" s="136"/>
      <c r="H474" s="136"/>
      <c r="I474" s="207"/>
      <c r="J474" s="207"/>
    </row>
    <row r="475" spans="1:10" s="60" customFormat="1" ht="12.75">
      <c r="A475" s="147">
        <f t="shared" si="22"/>
        <v>397</v>
      </c>
      <c r="B475" s="81"/>
      <c r="C475" s="119" t="s">
        <v>316</v>
      </c>
      <c r="D475" s="84"/>
      <c r="E475" s="83"/>
      <c r="F475" s="136"/>
      <c r="G475" s="136"/>
      <c r="H475" s="136"/>
      <c r="I475" s="207"/>
      <c r="J475" s="207"/>
    </row>
    <row r="476" spans="1:10" s="60" customFormat="1" ht="12.75">
      <c r="A476" s="147">
        <f t="shared" si="22"/>
        <v>398</v>
      </c>
      <c r="B476" s="81"/>
      <c r="C476" s="119" t="s">
        <v>317</v>
      </c>
      <c r="D476" s="84"/>
      <c r="E476" s="83"/>
      <c r="F476" s="136"/>
      <c r="G476" s="136"/>
      <c r="H476" s="136"/>
      <c r="I476" s="207"/>
      <c r="J476" s="207"/>
    </row>
    <row r="477" spans="1:10" s="60" customFormat="1" ht="12.75">
      <c r="A477" s="147">
        <f t="shared" si="22"/>
        <v>399</v>
      </c>
      <c r="B477" s="81"/>
      <c r="C477" s="119" t="s">
        <v>318</v>
      </c>
      <c r="D477" s="84"/>
      <c r="E477" s="83"/>
      <c r="F477" s="136"/>
      <c r="G477" s="136"/>
      <c r="H477" s="136"/>
      <c r="I477" s="207"/>
      <c r="J477" s="207"/>
    </row>
    <row r="478" spans="1:10" s="60" customFormat="1" ht="12.75">
      <c r="A478" s="147">
        <f t="shared" si="22"/>
        <v>400</v>
      </c>
      <c r="B478" s="81"/>
      <c r="C478" s="119" t="s">
        <v>344</v>
      </c>
      <c r="D478" s="84"/>
      <c r="E478" s="83"/>
      <c r="F478" s="136"/>
      <c r="G478" s="136"/>
      <c r="H478" s="136"/>
      <c r="I478" s="207"/>
      <c r="J478" s="207"/>
    </row>
    <row r="479" spans="1:10" s="60" customFormat="1" ht="12.75">
      <c r="A479" s="147">
        <f t="shared" si="22"/>
        <v>401</v>
      </c>
      <c r="B479" s="81"/>
      <c r="C479" s="119" t="s">
        <v>319</v>
      </c>
      <c r="D479" s="84"/>
      <c r="E479" s="83"/>
      <c r="F479" s="136"/>
      <c r="G479" s="136"/>
      <c r="H479" s="136"/>
      <c r="I479" s="207"/>
      <c r="J479" s="207"/>
    </row>
    <row r="480" spans="1:10" s="60" customFormat="1" ht="12.75">
      <c r="A480" s="147">
        <f t="shared" si="22"/>
        <v>402</v>
      </c>
      <c r="B480" s="81"/>
      <c r="C480" s="119" t="s">
        <v>320</v>
      </c>
      <c r="D480" s="84"/>
      <c r="E480" s="83"/>
      <c r="F480" s="136"/>
      <c r="G480" s="136"/>
      <c r="H480" s="136"/>
      <c r="I480" s="207"/>
      <c r="J480" s="207"/>
    </row>
    <row r="481" spans="1:10" s="60" customFormat="1" ht="12.75">
      <c r="A481" s="147">
        <f t="shared" si="22"/>
        <v>403</v>
      </c>
      <c r="B481" s="81"/>
      <c r="C481" s="119" t="s">
        <v>322</v>
      </c>
      <c r="D481" s="84"/>
      <c r="E481" s="83"/>
      <c r="F481" s="136"/>
      <c r="G481" s="136"/>
      <c r="H481" s="136"/>
      <c r="I481" s="207"/>
      <c r="J481" s="207"/>
    </row>
    <row r="482" spans="1:10" s="60" customFormat="1" ht="12.75">
      <c r="A482" s="147">
        <f t="shared" si="22"/>
        <v>404</v>
      </c>
      <c r="B482" s="81"/>
      <c r="C482" s="119" t="s">
        <v>423</v>
      </c>
      <c r="D482" s="84"/>
      <c r="E482" s="83"/>
      <c r="F482" s="136"/>
      <c r="G482" s="136"/>
      <c r="H482" s="136"/>
      <c r="I482" s="207"/>
      <c r="J482" s="207"/>
    </row>
    <row r="483" spans="1:10" s="60" customFormat="1" ht="12.75">
      <c r="A483" s="147">
        <f t="shared" si="22"/>
        <v>405</v>
      </c>
      <c r="B483" s="81"/>
      <c r="C483" s="119" t="s">
        <v>707</v>
      </c>
      <c r="D483" s="84"/>
      <c r="E483" s="83"/>
      <c r="F483" s="136"/>
      <c r="G483" s="136"/>
      <c r="H483" s="136"/>
      <c r="I483" s="207"/>
      <c r="J483" s="207"/>
    </row>
    <row r="484" spans="1:10" s="60" customFormat="1" ht="12.75">
      <c r="A484" s="147">
        <f t="shared" si="22"/>
        <v>406</v>
      </c>
      <c r="B484" s="81"/>
      <c r="C484" s="119" t="s">
        <v>499</v>
      </c>
      <c r="D484" s="84"/>
      <c r="E484" s="83"/>
      <c r="F484" s="136"/>
      <c r="G484" s="136"/>
      <c r="H484" s="136"/>
      <c r="I484" s="207"/>
      <c r="J484" s="207"/>
    </row>
    <row r="485" spans="1:10" s="60" customFormat="1" ht="12.75">
      <c r="A485" s="147">
        <f t="shared" si="22"/>
        <v>407</v>
      </c>
      <c r="B485" s="81"/>
      <c r="C485" s="119" t="s">
        <v>424</v>
      </c>
      <c r="D485" s="84"/>
      <c r="E485" s="83"/>
      <c r="F485" s="136"/>
      <c r="G485" s="136"/>
      <c r="H485" s="136"/>
      <c r="I485" s="207"/>
      <c r="J485" s="207"/>
    </row>
    <row r="486" spans="1:10" s="60" customFormat="1" ht="12.75">
      <c r="A486" s="147">
        <f t="shared" si="22"/>
        <v>408</v>
      </c>
      <c r="B486" s="81"/>
      <c r="C486" s="119" t="s">
        <v>425</v>
      </c>
      <c r="D486" s="84"/>
      <c r="E486" s="83"/>
      <c r="F486" s="136">
        <v>1200600</v>
      </c>
      <c r="G486" s="136">
        <v>1200600</v>
      </c>
      <c r="H486" s="136">
        <f>150000+60000+80000+100000+20000+20000+272000+250000+40000+70000</f>
        <v>1062000</v>
      </c>
      <c r="I486" s="207">
        <f t="shared" si="24"/>
        <v>0.8845577211394303</v>
      </c>
      <c r="J486" s="207">
        <f>H486/$H$1431</f>
        <v>0.015855122616166284</v>
      </c>
    </row>
    <row r="487" spans="1:10" s="60" customFormat="1" ht="12.75">
      <c r="A487" s="147">
        <f t="shared" si="22"/>
        <v>409</v>
      </c>
      <c r="B487" s="81">
        <v>4400</v>
      </c>
      <c r="C487" s="117" t="s">
        <v>346</v>
      </c>
      <c r="D487" s="84"/>
      <c r="E487" s="83"/>
      <c r="F487" s="136"/>
      <c r="G487" s="136"/>
      <c r="H487" s="136"/>
      <c r="I487" s="207"/>
      <c r="J487" s="207"/>
    </row>
    <row r="488" spans="1:10" s="60" customFormat="1" ht="12.75">
      <c r="A488" s="147">
        <f t="shared" si="22"/>
        <v>410</v>
      </c>
      <c r="B488" s="81"/>
      <c r="C488" s="117" t="s">
        <v>345</v>
      </c>
      <c r="D488" s="84"/>
      <c r="E488" s="83"/>
      <c r="F488" s="136">
        <v>20000</v>
      </c>
      <c r="G488" s="136">
        <v>20000</v>
      </c>
      <c r="H488" s="136">
        <v>35000</v>
      </c>
      <c r="I488" s="207">
        <f t="shared" si="24"/>
        <v>1.75</v>
      </c>
      <c r="J488" s="207">
        <f>H488/$H$1431</f>
        <v>0.00052253228961</v>
      </c>
    </row>
    <row r="489" spans="1:10" s="60" customFormat="1" ht="12.75">
      <c r="A489" s="147">
        <f t="shared" si="22"/>
        <v>411</v>
      </c>
      <c r="B489" s="81">
        <v>4430</v>
      </c>
      <c r="C489" s="117" t="s">
        <v>261</v>
      </c>
      <c r="D489" s="84"/>
      <c r="E489" s="83"/>
      <c r="F489" s="136"/>
      <c r="G489" s="136"/>
      <c r="H489" s="136"/>
      <c r="I489" s="207"/>
      <c r="J489" s="207"/>
    </row>
    <row r="490" spans="1:10" s="60" customFormat="1" ht="12.75">
      <c r="A490" s="147">
        <f t="shared" si="22"/>
        <v>412</v>
      </c>
      <c r="B490" s="81"/>
      <c r="C490" s="117" t="s">
        <v>606</v>
      </c>
      <c r="D490" s="84"/>
      <c r="E490" s="83"/>
      <c r="F490" s="136">
        <v>0</v>
      </c>
      <c r="G490" s="136">
        <v>0</v>
      </c>
      <c r="H490" s="136">
        <v>10000</v>
      </c>
      <c r="I490" s="207"/>
      <c r="J490" s="207">
        <f>H490/$H$1431</f>
        <v>0.00014929493988857142</v>
      </c>
    </row>
    <row r="491" spans="1:10" s="73" customFormat="1" ht="12.75">
      <c r="A491" s="147">
        <f t="shared" si="22"/>
        <v>413</v>
      </c>
      <c r="B491" s="75">
        <v>75095</v>
      </c>
      <c r="C491" s="118" t="s">
        <v>25</v>
      </c>
      <c r="D491" s="63"/>
      <c r="E491" s="64" t="e">
        <f>#REF!+E505+E510+E511+E523</f>
        <v>#REF!</v>
      </c>
      <c r="F491" s="63">
        <f>+F493+F502+F504+F505+F510+F511+F512+F518+F519+F522+F524</f>
        <v>467270</v>
      </c>
      <c r="G491" s="63">
        <f>+G493+G502+G504+G505+G510+G511+G512+G518+G519+G522+G524</f>
        <v>466503.82</v>
      </c>
      <c r="H491" s="63">
        <f>+H493+H502+H504+H505+H510+H511+H512+H518+H519+H522+H524</f>
        <v>494250</v>
      </c>
      <c r="I491" s="207">
        <f t="shared" si="24"/>
        <v>1.0594768548733426</v>
      </c>
      <c r="J491" s="207">
        <f>H491/$H$1431</f>
        <v>0.007378902403992642</v>
      </c>
    </row>
    <row r="492" spans="1:10" ht="12.75">
      <c r="A492" s="147">
        <f t="shared" si="22"/>
        <v>414</v>
      </c>
      <c r="B492" s="15">
        <v>2900</v>
      </c>
      <c r="C492" s="117" t="s">
        <v>240</v>
      </c>
      <c r="D492" s="25"/>
      <c r="E492" s="46"/>
      <c r="F492" s="131"/>
      <c r="G492" s="131"/>
      <c r="H492" s="131"/>
      <c r="I492" s="207"/>
      <c r="J492" s="207">
        <f>H492/$H$1431</f>
        <v>0</v>
      </c>
    </row>
    <row r="493" spans="1:10" ht="12.75">
      <c r="A493" s="147">
        <f t="shared" si="22"/>
        <v>415</v>
      </c>
      <c r="B493" s="15"/>
      <c r="C493" s="117" t="s">
        <v>241</v>
      </c>
      <c r="D493" s="25"/>
      <c r="E493" s="46"/>
      <c r="F493" s="131">
        <f>SUM(F495:F500)</f>
        <v>249815</v>
      </c>
      <c r="G493" s="131">
        <f>SUM(G495:G500)</f>
        <v>249781.02</v>
      </c>
      <c r="H493" s="131">
        <f>SUM(H495:H500)</f>
        <v>266200</v>
      </c>
      <c r="I493" s="207">
        <f t="shared" si="24"/>
        <v>1.065733497284942</v>
      </c>
      <c r="J493" s="207">
        <f>H493/$H$1431</f>
        <v>0.003974231299833771</v>
      </c>
    </row>
    <row r="494" spans="1:10" ht="12.75">
      <c r="A494" s="147">
        <f t="shared" si="22"/>
        <v>416</v>
      </c>
      <c r="B494" s="15"/>
      <c r="C494" s="117" t="s">
        <v>15</v>
      </c>
      <c r="D494" s="25"/>
      <c r="E494" s="46"/>
      <c r="G494" s="214"/>
      <c r="H494" s="28"/>
      <c r="I494" s="207"/>
      <c r="J494" s="207"/>
    </row>
    <row r="495" spans="1:10" ht="12.75">
      <c r="A495" s="147">
        <f t="shared" si="22"/>
        <v>417</v>
      </c>
      <c r="B495" s="15"/>
      <c r="C495" s="117" t="s">
        <v>242</v>
      </c>
      <c r="D495" s="25"/>
      <c r="E495" s="46"/>
      <c r="F495" s="131">
        <v>234065</v>
      </c>
      <c r="G495" s="131">
        <v>234065</v>
      </c>
      <c r="H495" s="131">
        <v>249000</v>
      </c>
      <c r="I495" s="207">
        <f t="shared" si="24"/>
        <v>1.0638070621408584</v>
      </c>
      <c r="J495" s="207">
        <f aca="true" t="shared" si="25" ref="J495:J500">H495/$H$1431</f>
        <v>0.003717444003225428</v>
      </c>
    </row>
    <row r="496" spans="1:10" ht="12.75">
      <c r="A496" s="147">
        <f t="shared" si="22"/>
        <v>418</v>
      </c>
      <c r="B496" s="15"/>
      <c r="C496" s="117" t="s">
        <v>57</v>
      </c>
      <c r="D496" s="25"/>
      <c r="E496" s="46"/>
      <c r="F496" s="131">
        <v>3000</v>
      </c>
      <c r="G496" s="131">
        <v>3000</v>
      </c>
      <c r="H496" s="131">
        <v>3300</v>
      </c>
      <c r="I496" s="207">
        <f t="shared" si="24"/>
        <v>1.1</v>
      </c>
      <c r="J496" s="207">
        <f t="shared" si="25"/>
        <v>4.9267330163228565E-05</v>
      </c>
    </row>
    <row r="497" spans="1:10" ht="12.75">
      <c r="A497" s="147">
        <f t="shared" si="22"/>
        <v>419</v>
      </c>
      <c r="B497" s="15"/>
      <c r="C497" s="119" t="s">
        <v>171</v>
      </c>
      <c r="D497" s="25"/>
      <c r="E497" s="46"/>
      <c r="F497" s="131">
        <v>3910</v>
      </c>
      <c r="G497" s="131">
        <v>3908.4</v>
      </c>
      <c r="H497" s="131">
        <v>4200</v>
      </c>
      <c r="I497" s="207">
        <f t="shared" si="24"/>
        <v>1.0746085354620816</v>
      </c>
      <c r="J497" s="207">
        <f t="shared" si="25"/>
        <v>6.27038747532E-05</v>
      </c>
    </row>
    <row r="498" spans="1:10" ht="12.75">
      <c r="A498" s="147">
        <f t="shared" si="22"/>
        <v>420</v>
      </c>
      <c r="B498" s="15"/>
      <c r="C498" s="81" t="s">
        <v>348</v>
      </c>
      <c r="D498" s="25"/>
      <c r="E498" s="46"/>
      <c r="F498" s="131">
        <v>6588</v>
      </c>
      <c r="G498" s="131">
        <v>6559.25</v>
      </c>
      <c r="H498" s="131">
        <v>6700</v>
      </c>
      <c r="I498" s="207">
        <f t="shared" si="24"/>
        <v>1.0214582459884896</v>
      </c>
      <c r="J498" s="207">
        <f t="shared" si="25"/>
        <v>0.00010002760972534284</v>
      </c>
    </row>
    <row r="499" spans="1:10" ht="12.75">
      <c r="A499" s="147">
        <f t="shared" si="22"/>
        <v>421</v>
      </c>
      <c r="B499" s="15"/>
      <c r="C499" s="81" t="s">
        <v>500</v>
      </c>
      <c r="D499" s="25"/>
      <c r="E499" s="46"/>
      <c r="F499" s="131">
        <v>1140</v>
      </c>
      <c r="G499" s="131">
        <v>1137.18</v>
      </c>
      <c r="H499" s="131">
        <v>1500</v>
      </c>
      <c r="I499" s="207">
        <f t="shared" si="24"/>
        <v>1.3190523927610405</v>
      </c>
      <c r="J499" s="207">
        <f t="shared" si="25"/>
        <v>2.239424098328571E-05</v>
      </c>
    </row>
    <row r="500" spans="1:10" ht="12.75">
      <c r="A500" s="147">
        <f t="shared" si="22"/>
        <v>422</v>
      </c>
      <c r="B500" s="15"/>
      <c r="C500" s="117" t="s">
        <v>221</v>
      </c>
      <c r="D500" s="25"/>
      <c r="E500" s="46"/>
      <c r="F500" s="131">
        <v>1112</v>
      </c>
      <c r="G500" s="131">
        <v>1111.19</v>
      </c>
      <c r="H500" s="131">
        <v>1500</v>
      </c>
      <c r="I500" s="207">
        <f t="shared" si="24"/>
        <v>1.3499041568048669</v>
      </c>
      <c r="J500" s="207">
        <f t="shared" si="25"/>
        <v>2.239424098328571E-05</v>
      </c>
    </row>
    <row r="501" spans="1:10" ht="12.75">
      <c r="A501" s="147">
        <f t="shared" si="22"/>
        <v>423</v>
      </c>
      <c r="B501" s="15">
        <v>3020</v>
      </c>
      <c r="C501" s="117" t="s">
        <v>218</v>
      </c>
      <c r="D501" s="25"/>
      <c r="E501" s="46"/>
      <c r="F501" s="131"/>
      <c r="G501" s="131"/>
      <c r="H501" s="131"/>
      <c r="I501" s="207"/>
      <c r="J501" s="207"/>
    </row>
    <row r="502" spans="1:10" ht="12.75">
      <c r="A502" s="147">
        <f t="shared" si="22"/>
        <v>424</v>
      </c>
      <c r="B502" s="15"/>
      <c r="C502" s="117" t="s">
        <v>349</v>
      </c>
      <c r="D502" s="25"/>
      <c r="E502" s="46"/>
      <c r="F502" s="131">
        <v>3840</v>
      </c>
      <c r="G502" s="131">
        <v>3840</v>
      </c>
      <c r="H502" s="131">
        <v>700</v>
      </c>
      <c r="I502" s="207">
        <f t="shared" si="24"/>
        <v>0.18229166666666666</v>
      </c>
      <c r="J502" s="207">
        <f>H502/$H$1431</f>
        <v>1.0450645792199998E-05</v>
      </c>
    </row>
    <row r="503" spans="1:10" ht="12.75">
      <c r="A503" s="147">
        <f t="shared" si="22"/>
        <v>425</v>
      </c>
      <c r="B503" s="15">
        <v>4010</v>
      </c>
      <c r="C503" s="117" t="s">
        <v>27</v>
      </c>
      <c r="D503" s="25"/>
      <c r="E503" s="46"/>
      <c r="F503" s="131"/>
      <c r="G503" s="131"/>
      <c r="H503" s="131"/>
      <c r="I503" s="207"/>
      <c r="J503" s="207"/>
    </row>
    <row r="504" spans="1:10" ht="12.75">
      <c r="A504" s="147">
        <f t="shared" si="22"/>
        <v>426</v>
      </c>
      <c r="B504" s="15"/>
      <c r="C504" s="117" t="s">
        <v>350</v>
      </c>
      <c r="D504" s="25"/>
      <c r="E504" s="46"/>
      <c r="F504" s="131">
        <v>26000</v>
      </c>
      <c r="G504" s="131">
        <v>26000</v>
      </c>
      <c r="H504" s="131">
        <v>26000</v>
      </c>
      <c r="I504" s="207">
        <f t="shared" si="24"/>
        <v>1</v>
      </c>
      <c r="J504" s="207">
        <f>H504/$H$1431</f>
        <v>0.0003881668437102857</v>
      </c>
    </row>
    <row r="505" spans="1:10" ht="12.75">
      <c r="A505" s="147">
        <f t="shared" si="22"/>
        <v>427</v>
      </c>
      <c r="B505" s="15">
        <v>4100</v>
      </c>
      <c r="C505" s="117" t="s">
        <v>435</v>
      </c>
      <c r="D505" s="25"/>
      <c r="E505" s="51">
        <f>SUM(E507:E509)</f>
        <v>80200</v>
      </c>
      <c r="F505" s="139">
        <f>SUM(F507:F509)</f>
        <v>93450</v>
      </c>
      <c r="G505" s="139">
        <f>SUM(G507:G509)</f>
        <v>93450</v>
      </c>
      <c r="H505" s="139">
        <f>SUM(H507:H509)</f>
        <v>105450</v>
      </c>
      <c r="I505" s="207">
        <f t="shared" si="24"/>
        <v>1.1284109149277688</v>
      </c>
      <c r="J505" s="207">
        <f>H505/$H$1431</f>
        <v>0.0015743151411249856</v>
      </c>
    </row>
    <row r="506" spans="1:10" ht="12.75">
      <c r="A506" s="147">
        <f t="shared" si="22"/>
        <v>428</v>
      </c>
      <c r="B506" s="15"/>
      <c r="C506" s="117" t="s">
        <v>15</v>
      </c>
      <c r="D506" s="25"/>
      <c r="E506" s="46"/>
      <c r="F506" s="131"/>
      <c r="G506" s="131"/>
      <c r="H506" s="131"/>
      <c r="I506" s="207"/>
      <c r="J506" s="207"/>
    </row>
    <row r="507" spans="1:10" ht="12.75">
      <c r="A507" s="147">
        <f t="shared" si="22"/>
        <v>429</v>
      </c>
      <c r="B507" s="15"/>
      <c r="C507" s="117" t="s">
        <v>78</v>
      </c>
      <c r="D507" s="25"/>
      <c r="E507" s="46">
        <v>50000</v>
      </c>
      <c r="F507" s="131">
        <v>62700</v>
      </c>
      <c r="G507" s="131">
        <v>62700</v>
      </c>
      <c r="H507" s="131">
        <v>75000</v>
      </c>
      <c r="I507" s="207">
        <f t="shared" si="24"/>
        <v>1.1961722488038278</v>
      </c>
      <c r="J507" s="207">
        <f aca="true" t="shared" si="26" ref="J507:J512">H507/$H$1431</f>
        <v>0.0011197120491642856</v>
      </c>
    </row>
    <row r="508" spans="1:10" ht="12.75">
      <c r="A508" s="147">
        <f t="shared" si="22"/>
        <v>430</v>
      </c>
      <c r="B508" s="15"/>
      <c r="C508" s="117" t="s">
        <v>79</v>
      </c>
      <c r="D508" s="25"/>
      <c r="E508" s="46">
        <v>26700</v>
      </c>
      <c r="F508" s="131">
        <v>29300</v>
      </c>
      <c r="G508" s="131">
        <v>29300</v>
      </c>
      <c r="H508" s="131">
        <v>29000</v>
      </c>
      <c r="I508" s="207">
        <f t="shared" si="24"/>
        <v>0.9897610921501706</v>
      </c>
      <c r="J508" s="207">
        <f t="shared" si="26"/>
        <v>0.00043295532567685707</v>
      </c>
    </row>
    <row r="509" spans="1:10" ht="12.75">
      <c r="A509" s="147">
        <f aca="true" t="shared" si="27" ref="A509:A523">A508+1</f>
        <v>431</v>
      </c>
      <c r="B509" s="15"/>
      <c r="C509" s="117" t="s">
        <v>80</v>
      </c>
      <c r="D509" s="25"/>
      <c r="E509" s="46">
        <v>3500</v>
      </c>
      <c r="F509" s="131">
        <v>1450</v>
      </c>
      <c r="G509" s="131">
        <v>1450</v>
      </c>
      <c r="H509" s="131">
        <v>1450</v>
      </c>
      <c r="I509" s="207">
        <f t="shared" si="24"/>
        <v>1</v>
      </c>
      <c r="J509" s="207">
        <f t="shared" si="26"/>
        <v>2.1647766283842855E-05</v>
      </c>
    </row>
    <row r="510" spans="1:10" ht="12.75">
      <c r="A510" s="147">
        <f t="shared" si="27"/>
        <v>432</v>
      </c>
      <c r="B510" s="15">
        <v>4110</v>
      </c>
      <c r="C510" s="117" t="s">
        <v>32</v>
      </c>
      <c r="D510" s="25"/>
      <c r="E510" s="46">
        <v>4300</v>
      </c>
      <c r="F510" s="131">
        <v>10576</v>
      </c>
      <c r="G510" s="131">
        <v>10576</v>
      </c>
      <c r="H510" s="131">
        <v>10000</v>
      </c>
      <c r="I510" s="207">
        <f t="shared" si="24"/>
        <v>0.9455370650529501</v>
      </c>
      <c r="J510" s="207">
        <f t="shared" si="26"/>
        <v>0.00014929493988857142</v>
      </c>
    </row>
    <row r="511" spans="1:10" ht="12.75">
      <c r="A511" s="147">
        <f t="shared" si="27"/>
        <v>433</v>
      </c>
      <c r="B511" s="15">
        <v>4120</v>
      </c>
      <c r="C511" s="117" t="s">
        <v>33</v>
      </c>
      <c r="D511" s="25"/>
      <c r="E511" s="46">
        <v>700</v>
      </c>
      <c r="F511" s="131">
        <v>4657</v>
      </c>
      <c r="G511" s="131">
        <v>4657</v>
      </c>
      <c r="H511" s="131">
        <v>4500</v>
      </c>
      <c r="I511" s="207">
        <f t="shared" si="24"/>
        <v>0.9662873094266695</v>
      </c>
      <c r="J511" s="207">
        <f t="shared" si="26"/>
        <v>6.718272294985713E-05</v>
      </c>
    </row>
    <row r="512" spans="1:10" ht="12.75">
      <c r="A512" s="147">
        <f t="shared" si="27"/>
        <v>434</v>
      </c>
      <c r="B512" s="15">
        <v>4260</v>
      </c>
      <c r="C512" s="81" t="s">
        <v>501</v>
      </c>
      <c r="D512" s="25"/>
      <c r="E512" s="46"/>
      <c r="F512" s="131">
        <f>SUM(F514:F516)</f>
        <v>69700</v>
      </c>
      <c r="G512" s="131">
        <f>SUM(G514:G516)</f>
        <v>69700</v>
      </c>
      <c r="H512" s="131">
        <f>SUM(H514:H516)</f>
        <v>73000</v>
      </c>
      <c r="I512" s="207">
        <f t="shared" si="24"/>
        <v>1.0473457675753228</v>
      </c>
      <c r="J512" s="207">
        <f t="shared" si="26"/>
        <v>0.0010898530611865712</v>
      </c>
    </row>
    <row r="513" spans="1:10" ht="12.75">
      <c r="A513" s="147">
        <f t="shared" si="27"/>
        <v>435</v>
      </c>
      <c r="B513" s="15"/>
      <c r="C513" s="81" t="s">
        <v>15</v>
      </c>
      <c r="D513" s="25"/>
      <c r="E513" s="46"/>
      <c r="F513" s="131"/>
      <c r="G513" s="131"/>
      <c r="H513" s="131"/>
      <c r="I513" s="207"/>
      <c r="J513" s="207"/>
    </row>
    <row r="514" spans="1:10" ht="12.75">
      <c r="A514" s="147">
        <f t="shared" si="27"/>
        <v>436</v>
      </c>
      <c r="B514" s="15"/>
      <c r="C514" s="81" t="s">
        <v>502</v>
      </c>
      <c r="D514" s="25"/>
      <c r="E514" s="46"/>
      <c r="F514" s="131">
        <v>58000</v>
      </c>
      <c r="G514" s="131">
        <v>58000</v>
      </c>
      <c r="H514" s="131">
        <v>60000</v>
      </c>
      <c r="I514" s="207">
        <f t="shared" si="24"/>
        <v>1.0344827586206897</v>
      </c>
      <c r="J514" s="207">
        <f>H514/$H$1431</f>
        <v>0.0008957696393314284</v>
      </c>
    </row>
    <row r="515" spans="1:10" ht="12.75">
      <c r="A515" s="147">
        <f t="shared" si="27"/>
        <v>437</v>
      </c>
      <c r="B515" s="15"/>
      <c r="C515" s="81" t="s">
        <v>503</v>
      </c>
      <c r="D515" s="25"/>
      <c r="E515" s="46"/>
      <c r="F515" s="131">
        <v>10000</v>
      </c>
      <c r="G515" s="131">
        <v>10000</v>
      </c>
      <c r="H515" s="131">
        <v>13000</v>
      </c>
      <c r="I515" s="207">
        <f t="shared" si="24"/>
        <v>1.3</v>
      </c>
      <c r="J515" s="207">
        <f>H515/$H$1431</f>
        <v>0.00019408342185514284</v>
      </c>
    </row>
    <row r="516" spans="1:10" ht="12.75">
      <c r="A516" s="147">
        <f t="shared" si="27"/>
        <v>438</v>
      </c>
      <c r="B516" s="15"/>
      <c r="C516" s="81" t="s">
        <v>274</v>
      </c>
      <c r="D516" s="25"/>
      <c r="E516" s="46"/>
      <c r="F516" s="131">
        <v>1700</v>
      </c>
      <c r="G516" s="131">
        <v>1700</v>
      </c>
      <c r="H516" s="131">
        <v>0</v>
      </c>
      <c r="I516" s="207">
        <f t="shared" si="24"/>
        <v>0</v>
      </c>
      <c r="J516" s="207">
        <f>H516/$H$1431</f>
        <v>0</v>
      </c>
    </row>
    <row r="517" spans="1:10" ht="12.75">
      <c r="A517" s="147">
        <f t="shared" si="27"/>
        <v>439</v>
      </c>
      <c r="B517" s="15">
        <v>4270</v>
      </c>
      <c r="C517" s="81" t="s">
        <v>362</v>
      </c>
      <c r="D517" s="25"/>
      <c r="E517" s="46"/>
      <c r="F517" s="131"/>
      <c r="G517" s="131"/>
      <c r="H517" s="131"/>
      <c r="I517" s="207"/>
      <c r="J517" s="207"/>
    </row>
    <row r="518" spans="1:10" ht="12.75">
      <c r="A518" s="147">
        <f t="shared" si="27"/>
        <v>440</v>
      </c>
      <c r="B518" s="15"/>
      <c r="C518" s="81" t="s">
        <v>351</v>
      </c>
      <c r="D518" s="25"/>
      <c r="E518" s="46"/>
      <c r="F518" s="131">
        <v>7435</v>
      </c>
      <c r="G518" s="131">
        <v>7435</v>
      </c>
      <c r="H518" s="131">
        <f>3000+1500</f>
        <v>4500</v>
      </c>
      <c r="I518" s="207">
        <f t="shared" si="24"/>
        <v>0.605245460659045</v>
      </c>
      <c r="J518" s="207">
        <f>H518/$H$1431</f>
        <v>6.718272294985713E-05</v>
      </c>
    </row>
    <row r="519" spans="1:10" ht="12.75">
      <c r="A519" s="147">
        <f t="shared" si="27"/>
        <v>441</v>
      </c>
      <c r="B519" s="15">
        <v>4300</v>
      </c>
      <c r="C519" s="81" t="s">
        <v>504</v>
      </c>
      <c r="D519" s="25"/>
      <c r="E519" s="46"/>
      <c r="F519" s="131">
        <v>865</v>
      </c>
      <c r="G519" s="131">
        <v>864.8</v>
      </c>
      <c r="H519" s="131">
        <f>1200+1300+1200</f>
        <v>3700</v>
      </c>
      <c r="I519" s="207">
        <f t="shared" si="24"/>
        <v>4.278445883441258</v>
      </c>
      <c r="J519" s="207">
        <f>H519/$H$1431</f>
        <v>5.523912775877142E-05</v>
      </c>
    </row>
    <row r="520" spans="1:10" ht="12.75">
      <c r="A520" s="147">
        <f t="shared" si="27"/>
        <v>442</v>
      </c>
      <c r="B520" s="15">
        <v>4400</v>
      </c>
      <c r="C520" s="117" t="s">
        <v>346</v>
      </c>
      <c r="D520" s="25"/>
      <c r="E520" s="46"/>
      <c r="F520" s="131"/>
      <c r="G520" s="131"/>
      <c r="H520" s="131"/>
      <c r="I520" s="207"/>
      <c r="J520" s="207"/>
    </row>
    <row r="521" spans="1:10" ht="12.75">
      <c r="A521" s="147">
        <f t="shared" si="27"/>
        <v>443</v>
      </c>
      <c r="B521" s="15"/>
      <c r="C521" s="117" t="s">
        <v>352</v>
      </c>
      <c r="D521" s="25"/>
      <c r="E521" s="46"/>
      <c r="F521" s="131"/>
      <c r="G521" s="131"/>
      <c r="H521" s="131"/>
      <c r="I521" s="207"/>
      <c r="J521" s="207"/>
    </row>
    <row r="522" spans="1:10" ht="12.75">
      <c r="A522" s="147">
        <f t="shared" si="27"/>
        <v>444</v>
      </c>
      <c r="B522" s="15"/>
      <c r="C522" s="117" t="s">
        <v>353</v>
      </c>
      <c r="D522" s="25"/>
      <c r="E522" s="46"/>
      <c r="F522" s="131">
        <v>732</v>
      </c>
      <c r="G522" s="131">
        <v>0</v>
      </c>
      <c r="H522" s="131">
        <v>0</v>
      </c>
      <c r="I522" s="207"/>
      <c r="J522" s="207">
        <f>H522/$H$1431</f>
        <v>0</v>
      </c>
    </row>
    <row r="523" spans="1:10" ht="12.75">
      <c r="A523" s="147">
        <f t="shared" si="27"/>
        <v>445</v>
      </c>
      <c r="B523" s="16">
        <v>4430</v>
      </c>
      <c r="C523" s="117" t="s">
        <v>39</v>
      </c>
      <c r="D523" s="25"/>
      <c r="E523" s="52" t="e">
        <f>SUM(#REF!)</f>
        <v>#REF!</v>
      </c>
      <c r="F523" s="178"/>
      <c r="G523" s="178"/>
      <c r="H523" s="178"/>
      <c r="I523" s="207"/>
      <c r="J523" s="207"/>
    </row>
    <row r="524" spans="1:10" ht="12.75">
      <c r="A524" s="147">
        <f aca="true" t="shared" si="28" ref="A524:A593">A523+1</f>
        <v>446</v>
      </c>
      <c r="B524" s="16"/>
      <c r="C524" s="117" t="s">
        <v>275</v>
      </c>
      <c r="D524" s="25"/>
      <c r="E524" s="46"/>
      <c r="F524" s="131">
        <v>200</v>
      </c>
      <c r="G524" s="131">
        <v>200</v>
      </c>
      <c r="H524" s="131">
        <v>200</v>
      </c>
      <c r="I524" s="207">
        <f aca="true" t="shared" si="29" ref="I524:I585">H524/G524</f>
        <v>1</v>
      </c>
      <c r="J524" s="207">
        <f>H524/$H$1431</f>
        <v>2.9858987977714283E-06</v>
      </c>
    </row>
    <row r="525" spans="1:10" s="70" customFormat="1" ht="12.75">
      <c r="A525" s="147">
        <f t="shared" si="28"/>
        <v>447</v>
      </c>
      <c r="B525" s="76">
        <v>751</v>
      </c>
      <c r="C525" s="77" t="s">
        <v>124</v>
      </c>
      <c r="D525" s="58"/>
      <c r="E525" s="71"/>
      <c r="F525" s="141"/>
      <c r="G525" s="141"/>
      <c r="H525" s="141"/>
      <c r="I525" s="207"/>
      <c r="J525" s="207"/>
    </row>
    <row r="526" spans="1:10" s="70" customFormat="1" ht="12.75">
      <c r="A526" s="147">
        <f t="shared" si="28"/>
        <v>448</v>
      </c>
      <c r="B526" s="77"/>
      <c r="C526" s="80" t="s">
        <v>125</v>
      </c>
      <c r="D526" s="58"/>
      <c r="E526" s="71"/>
      <c r="F526" s="141"/>
      <c r="G526" s="141"/>
      <c r="H526" s="141"/>
      <c r="I526" s="207"/>
      <c r="J526" s="207"/>
    </row>
    <row r="527" spans="1:10" s="70" customFormat="1" ht="12.75">
      <c r="A527" s="147">
        <f t="shared" si="28"/>
        <v>449</v>
      </c>
      <c r="B527" s="77"/>
      <c r="C527" s="80" t="s">
        <v>126</v>
      </c>
      <c r="D527" s="58"/>
      <c r="E527" s="59" t="e">
        <f>E529+#REF!+#REF!</f>
        <v>#REF!</v>
      </c>
      <c r="F527" s="58">
        <f>F529+F536</f>
        <v>4848</v>
      </c>
      <c r="G527" s="58">
        <f>G529+G536</f>
        <v>4848</v>
      </c>
      <c r="H527" s="58">
        <f>H529+H536</f>
        <v>1140</v>
      </c>
      <c r="I527" s="207">
        <f t="shared" si="29"/>
        <v>0.23514851485148514</v>
      </c>
      <c r="J527" s="207">
        <f>H527/$H$1431</f>
        <v>1.701962314729714E-05</v>
      </c>
    </row>
    <row r="528" spans="1:10" ht="12.75">
      <c r="A528" s="147">
        <f t="shared" si="28"/>
        <v>450</v>
      </c>
      <c r="B528" s="10">
        <v>75101</v>
      </c>
      <c r="C528" s="68" t="s">
        <v>127</v>
      </c>
      <c r="D528" s="25"/>
      <c r="E528" s="44"/>
      <c r="F528" s="143"/>
      <c r="G528" s="143"/>
      <c r="H528" s="143"/>
      <c r="I528" s="207"/>
      <c r="J528" s="207"/>
    </row>
    <row r="529" spans="1:10" ht="12.75">
      <c r="A529" s="147">
        <f t="shared" si="28"/>
        <v>451</v>
      </c>
      <c r="B529" s="10"/>
      <c r="C529" s="68" t="s">
        <v>128</v>
      </c>
      <c r="D529" s="25"/>
      <c r="E529" s="44">
        <f>SUM(E530:E532)</f>
        <v>176</v>
      </c>
      <c r="F529" s="26">
        <f>SUM(F530:F532)</f>
        <v>1008</v>
      </c>
      <c r="G529" s="26">
        <f>SUM(G530:G532)</f>
        <v>1008</v>
      </c>
      <c r="H529" s="26">
        <f>SUM(H530:H532)</f>
        <v>1140</v>
      </c>
      <c r="I529" s="207">
        <f t="shared" si="29"/>
        <v>1.130952380952381</v>
      </c>
      <c r="J529" s="207">
        <f>H529/$H$1431</f>
        <v>1.701962314729714E-05</v>
      </c>
    </row>
    <row r="530" spans="1:10" ht="12.75">
      <c r="A530" s="147">
        <f t="shared" si="28"/>
        <v>452</v>
      </c>
      <c r="B530" s="4">
        <v>4110</v>
      </c>
      <c r="C530" s="79" t="s">
        <v>32</v>
      </c>
      <c r="D530" s="25"/>
      <c r="E530" s="46">
        <v>155</v>
      </c>
      <c r="F530" s="131">
        <v>145</v>
      </c>
      <c r="G530" s="131">
        <v>145</v>
      </c>
      <c r="H530" s="131">
        <v>146</v>
      </c>
      <c r="I530" s="207">
        <f t="shared" si="29"/>
        <v>1.006896551724138</v>
      </c>
      <c r="J530" s="207">
        <f>H530/$H$1431</f>
        <v>2.1797061223731426E-06</v>
      </c>
    </row>
    <row r="531" spans="1:10" ht="15" customHeight="1">
      <c r="A531" s="147">
        <f t="shared" si="28"/>
        <v>453</v>
      </c>
      <c r="B531" s="4">
        <v>4120</v>
      </c>
      <c r="C531" s="79" t="s">
        <v>33</v>
      </c>
      <c r="D531" s="25"/>
      <c r="E531" s="46">
        <v>21</v>
      </c>
      <c r="F531" s="131">
        <v>21</v>
      </c>
      <c r="G531" s="131">
        <v>21</v>
      </c>
      <c r="H531" s="131">
        <v>24</v>
      </c>
      <c r="I531" s="207">
        <f t="shared" si="29"/>
        <v>1.1428571428571428</v>
      </c>
      <c r="J531" s="207">
        <f>H531/$H$1431</f>
        <v>3.5830785573257136E-07</v>
      </c>
    </row>
    <row r="532" spans="1:10" ht="15" customHeight="1">
      <c r="A532" s="147">
        <f t="shared" si="28"/>
        <v>454</v>
      </c>
      <c r="B532" s="4">
        <v>4170</v>
      </c>
      <c r="C532" s="79" t="s">
        <v>211</v>
      </c>
      <c r="D532" s="25"/>
      <c r="E532" s="46"/>
      <c r="F532" s="131">
        <v>842</v>
      </c>
      <c r="G532" s="131">
        <v>842</v>
      </c>
      <c r="H532" s="131">
        <v>970</v>
      </c>
      <c r="I532" s="207">
        <f t="shared" si="29"/>
        <v>1.152019002375297</v>
      </c>
      <c r="J532" s="207">
        <f>H532/$H$1431</f>
        <v>1.4481609169191426E-05</v>
      </c>
    </row>
    <row r="533" spans="1:10" ht="15" customHeight="1">
      <c r="A533" s="147">
        <f t="shared" si="28"/>
        <v>455</v>
      </c>
      <c r="B533" s="180">
        <v>75109</v>
      </c>
      <c r="C533" s="168" t="s">
        <v>505</v>
      </c>
      <c r="D533" s="25"/>
      <c r="E533" s="46"/>
      <c r="F533" s="131"/>
      <c r="G533" s="131"/>
      <c r="H533" s="131"/>
      <c r="I533" s="207"/>
      <c r="J533" s="207"/>
    </row>
    <row r="534" spans="1:10" s="166" customFormat="1" ht="15" customHeight="1">
      <c r="A534" s="147">
        <f t="shared" si="28"/>
        <v>456</v>
      </c>
      <c r="B534" s="180"/>
      <c r="C534" s="168" t="s">
        <v>506</v>
      </c>
      <c r="D534" s="146"/>
      <c r="E534" s="150"/>
      <c r="F534" s="151"/>
      <c r="G534" s="151"/>
      <c r="H534" s="151"/>
      <c r="I534" s="207"/>
      <c r="J534" s="207"/>
    </row>
    <row r="535" spans="1:10" s="166" customFormat="1" ht="15" customHeight="1">
      <c r="A535" s="147">
        <f t="shared" si="28"/>
        <v>457</v>
      </c>
      <c r="B535" s="180"/>
      <c r="C535" s="168" t="s">
        <v>508</v>
      </c>
      <c r="D535" s="146"/>
      <c r="E535" s="150"/>
      <c r="F535" s="151"/>
      <c r="G535" s="151"/>
      <c r="H535" s="151"/>
      <c r="I535" s="207"/>
      <c r="J535" s="207"/>
    </row>
    <row r="536" spans="1:10" ht="15" customHeight="1">
      <c r="A536" s="147">
        <f t="shared" si="28"/>
        <v>458</v>
      </c>
      <c r="B536" s="180"/>
      <c r="C536" s="168" t="s">
        <v>507</v>
      </c>
      <c r="D536" s="25"/>
      <c r="E536" s="46"/>
      <c r="F536" s="151">
        <f>SUM(F537:F544)</f>
        <v>3840.0000000000005</v>
      </c>
      <c r="G536" s="151">
        <f>SUM(G537:G544)</f>
        <v>3840.0000000000005</v>
      </c>
      <c r="H536" s="151">
        <f>SUM(H537:H544)</f>
        <v>0</v>
      </c>
      <c r="I536" s="207">
        <f t="shared" si="29"/>
        <v>0</v>
      </c>
      <c r="J536" s="207">
        <f aca="true" t="shared" si="30" ref="J536:J542">H536/$H$1431</f>
        <v>0</v>
      </c>
    </row>
    <row r="537" spans="1:10" ht="15" customHeight="1">
      <c r="A537" s="147">
        <f t="shared" si="28"/>
        <v>459</v>
      </c>
      <c r="B537" s="4">
        <v>3030</v>
      </c>
      <c r="C537" s="79" t="s">
        <v>431</v>
      </c>
      <c r="D537" s="79" t="s">
        <v>218</v>
      </c>
      <c r="E537" s="46"/>
      <c r="F537" s="131">
        <v>2190</v>
      </c>
      <c r="G537" s="131">
        <v>2190</v>
      </c>
      <c r="H537" s="131">
        <v>0</v>
      </c>
      <c r="I537" s="207">
        <f t="shared" si="29"/>
        <v>0</v>
      </c>
      <c r="J537" s="207">
        <f t="shared" si="30"/>
        <v>0</v>
      </c>
    </row>
    <row r="538" spans="1:10" ht="15" customHeight="1">
      <c r="A538" s="147">
        <f t="shared" si="28"/>
        <v>460</v>
      </c>
      <c r="B538" s="4">
        <v>4110</v>
      </c>
      <c r="C538" s="79" t="s">
        <v>32</v>
      </c>
      <c r="D538" s="79" t="s">
        <v>32</v>
      </c>
      <c r="E538" s="46"/>
      <c r="F538" s="131">
        <v>114.01</v>
      </c>
      <c r="G538" s="131">
        <v>114.01</v>
      </c>
      <c r="H538" s="131">
        <v>0</v>
      </c>
      <c r="I538" s="207">
        <f t="shared" si="29"/>
        <v>0</v>
      </c>
      <c r="J538" s="207">
        <f t="shared" si="30"/>
        <v>0</v>
      </c>
    </row>
    <row r="539" spans="1:10" ht="15" customHeight="1">
      <c r="A539" s="147">
        <f t="shared" si="28"/>
        <v>461</v>
      </c>
      <c r="B539" s="4">
        <v>4120</v>
      </c>
      <c r="C539" s="79" t="s">
        <v>33</v>
      </c>
      <c r="D539" s="79" t="s">
        <v>33</v>
      </c>
      <c r="E539" s="46"/>
      <c r="F539" s="131">
        <v>18.51</v>
      </c>
      <c r="G539" s="131">
        <v>18.51</v>
      </c>
      <c r="H539" s="131">
        <v>0</v>
      </c>
      <c r="I539" s="207">
        <f t="shared" si="29"/>
        <v>0</v>
      </c>
      <c r="J539" s="207">
        <f t="shared" si="30"/>
        <v>0</v>
      </c>
    </row>
    <row r="540" spans="1:10" s="70" customFormat="1" ht="12.75">
      <c r="A540" s="147">
        <f t="shared" si="28"/>
        <v>462</v>
      </c>
      <c r="B540" s="4">
        <v>4170</v>
      </c>
      <c r="C540" s="79" t="s">
        <v>211</v>
      </c>
      <c r="D540" s="58"/>
      <c r="E540" s="71"/>
      <c r="F540" s="131">
        <v>755</v>
      </c>
      <c r="G540" s="131">
        <v>755</v>
      </c>
      <c r="H540" s="131">
        <v>0</v>
      </c>
      <c r="I540" s="207">
        <f t="shared" si="29"/>
        <v>0</v>
      </c>
      <c r="J540" s="207">
        <f t="shared" si="30"/>
        <v>0</v>
      </c>
    </row>
    <row r="541" spans="1:10" s="70" customFormat="1" ht="12.75">
      <c r="A541" s="147">
        <f t="shared" si="28"/>
        <v>463</v>
      </c>
      <c r="B541" s="4">
        <v>4210</v>
      </c>
      <c r="C541" s="79" t="s">
        <v>132</v>
      </c>
      <c r="D541" s="58"/>
      <c r="E541" s="71"/>
      <c r="F541" s="131">
        <v>207.5</v>
      </c>
      <c r="G541" s="131">
        <v>207.5</v>
      </c>
      <c r="H541" s="131">
        <v>0</v>
      </c>
      <c r="I541" s="207">
        <f t="shared" si="29"/>
        <v>0</v>
      </c>
      <c r="J541" s="207">
        <f t="shared" si="30"/>
        <v>0</v>
      </c>
    </row>
    <row r="542" spans="1:10" s="70" customFormat="1" ht="12.75">
      <c r="A542" s="147">
        <f t="shared" si="28"/>
        <v>464</v>
      </c>
      <c r="B542" s="4">
        <v>4300</v>
      </c>
      <c r="C542" s="79" t="s">
        <v>130</v>
      </c>
      <c r="D542" s="58"/>
      <c r="E542" s="71"/>
      <c r="F542" s="131">
        <v>514.7</v>
      </c>
      <c r="G542" s="131">
        <v>514.7</v>
      </c>
      <c r="H542" s="131">
        <v>0</v>
      </c>
      <c r="I542" s="207">
        <f t="shared" si="29"/>
        <v>0</v>
      </c>
      <c r="J542" s="207">
        <f t="shared" si="30"/>
        <v>0</v>
      </c>
    </row>
    <row r="543" spans="1:10" s="70" customFormat="1" ht="12.75">
      <c r="A543" s="147">
        <f t="shared" si="28"/>
        <v>465</v>
      </c>
      <c r="B543" s="4">
        <v>4370</v>
      </c>
      <c r="C543" s="117" t="s">
        <v>280</v>
      </c>
      <c r="D543" s="58"/>
      <c r="E543" s="71"/>
      <c r="F543" s="131"/>
      <c r="G543" s="131"/>
      <c r="H543" s="131"/>
      <c r="I543" s="207"/>
      <c r="J543" s="207"/>
    </row>
    <row r="544" spans="1:10" s="70" customFormat="1" ht="12.75">
      <c r="A544" s="147">
        <f t="shared" si="28"/>
        <v>466</v>
      </c>
      <c r="B544" s="4"/>
      <c r="C544" s="117" t="s">
        <v>266</v>
      </c>
      <c r="D544" s="58"/>
      <c r="E544" s="71"/>
      <c r="F544" s="131">
        <v>40.28</v>
      </c>
      <c r="G544" s="131">
        <v>40.28</v>
      </c>
      <c r="H544" s="131">
        <v>0</v>
      </c>
      <c r="I544" s="207">
        <f t="shared" si="29"/>
        <v>0</v>
      </c>
      <c r="J544" s="207">
        <f>H544/$H$1431</f>
        <v>0</v>
      </c>
    </row>
    <row r="545" spans="1:10" s="70" customFormat="1" ht="12.75">
      <c r="A545" s="147">
        <f t="shared" si="28"/>
        <v>467</v>
      </c>
      <c r="B545" s="76">
        <v>754</v>
      </c>
      <c r="C545" s="80" t="s">
        <v>101</v>
      </c>
      <c r="D545" s="58"/>
      <c r="E545" s="71"/>
      <c r="F545" s="141"/>
      <c r="G545" s="141"/>
      <c r="H545" s="141"/>
      <c r="I545" s="207"/>
      <c r="J545" s="207"/>
    </row>
    <row r="546" spans="1:10" s="70" customFormat="1" ht="12.75">
      <c r="A546" s="147">
        <f t="shared" si="28"/>
        <v>468</v>
      </c>
      <c r="B546" s="77"/>
      <c r="C546" s="80" t="s">
        <v>102</v>
      </c>
      <c r="D546" s="58"/>
      <c r="E546" s="59" t="e">
        <f>E547+#REF!+E553+E580+E585</f>
        <v>#REF!</v>
      </c>
      <c r="F546" s="58">
        <f>F547+F551+F553+F580+F585+F615+F618</f>
        <v>1281050</v>
      </c>
      <c r="G546" s="58">
        <f>G547+G551+G553+G580+G585+G615+G618</f>
        <v>1268841</v>
      </c>
      <c r="H546" s="58">
        <f>H547+H551+H553+H580+H585+H615+H618</f>
        <v>1897308</v>
      </c>
      <c r="I546" s="207">
        <f t="shared" si="29"/>
        <v>1.495307922742093</v>
      </c>
      <c r="J546" s="207">
        <f>H546/$H$1431</f>
        <v>0.028325848381010564</v>
      </c>
    </row>
    <row r="547" spans="1:10" s="73" customFormat="1" ht="12.75">
      <c r="A547" s="147">
        <f t="shared" si="28"/>
        <v>469</v>
      </c>
      <c r="B547" s="75">
        <v>75405</v>
      </c>
      <c r="C547" s="118" t="s">
        <v>84</v>
      </c>
      <c r="D547" s="63"/>
      <c r="E547" s="72" t="e">
        <f>#REF!</f>
        <v>#REF!</v>
      </c>
      <c r="F547" s="138">
        <f>F550</f>
        <v>124000</v>
      </c>
      <c r="G547" s="138">
        <f>G550</f>
        <v>124000</v>
      </c>
      <c r="H547" s="138">
        <f>H550</f>
        <v>300000</v>
      </c>
      <c r="I547" s="207">
        <f t="shared" si="29"/>
        <v>2.4193548387096775</v>
      </c>
      <c r="J547" s="207">
        <f>H547/$H$1431</f>
        <v>0.0044788481966571425</v>
      </c>
    </row>
    <row r="548" spans="1:10" s="60" customFormat="1" ht="12.75">
      <c r="A548" s="147">
        <f t="shared" si="28"/>
        <v>470</v>
      </c>
      <c r="B548" s="81">
        <v>3000</v>
      </c>
      <c r="C548" s="117" t="s">
        <v>222</v>
      </c>
      <c r="D548" s="84"/>
      <c r="E548" s="83"/>
      <c r="F548" s="136"/>
      <c r="G548" s="136"/>
      <c r="H548" s="136"/>
      <c r="I548" s="207"/>
      <c r="J548" s="207"/>
    </row>
    <row r="549" spans="1:10" s="60" customFormat="1" ht="12.75">
      <c r="A549" s="147">
        <f t="shared" si="28"/>
        <v>471</v>
      </c>
      <c r="B549" s="81"/>
      <c r="C549" s="117" t="s">
        <v>692</v>
      </c>
      <c r="D549" s="84"/>
      <c r="E549" s="83"/>
      <c r="F549" s="136"/>
      <c r="G549" s="136"/>
      <c r="H549" s="136"/>
      <c r="I549" s="207"/>
      <c r="J549" s="207"/>
    </row>
    <row r="550" spans="1:10" s="60" customFormat="1" ht="12.75">
      <c r="A550" s="147">
        <f t="shared" si="28"/>
        <v>472</v>
      </c>
      <c r="B550" s="81"/>
      <c r="C550" s="117" t="s">
        <v>693</v>
      </c>
      <c r="D550" s="84"/>
      <c r="E550" s="83"/>
      <c r="F550" s="136">
        <v>124000</v>
      </c>
      <c r="G550" s="136">
        <v>124000</v>
      </c>
      <c r="H550" s="136">
        <v>300000</v>
      </c>
      <c r="I550" s="207">
        <f t="shared" si="29"/>
        <v>2.4193548387096775</v>
      </c>
      <c r="J550" s="207">
        <f aca="true" t="shared" si="31" ref="J550:J555">H550/$H$1431</f>
        <v>0.0044788481966571425</v>
      </c>
    </row>
    <row r="551" spans="1:10" s="166" customFormat="1" ht="12.75">
      <c r="A551" s="147">
        <f>A550+1</f>
        <v>473</v>
      </c>
      <c r="B551" s="148">
        <v>75406</v>
      </c>
      <c r="C551" s="149" t="s">
        <v>509</v>
      </c>
      <c r="D551" s="146"/>
      <c r="E551" s="150"/>
      <c r="F551" s="151">
        <f>F552</f>
        <v>10000</v>
      </c>
      <c r="G551" s="151">
        <f>G552</f>
        <v>0</v>
      </c>
      <c r="H551" s="151">
        <f>H552</f>
        <v>0</v>
      </c>
      <c r="I551" s="207"/>
      <c r="J551" s="207">
        <f t="shared" si="31"/>
        <v>0</v>
      </c>
    </row>
    <row r="552" spans="1:10" s="60" customFormat="1" ht="12.75">
      <c r="A552" s="147">
        <f t="shared" si="28"/>
        <v>474</v>
      </c>
      <c r="B552" s="81">
        <v>3000</v>
      </c>
      <c r="C552" s="117" t="s">
        <v>222</v>
      </c>
      <c r="D552" s="84"/>
      <c r="E552" s="83"/>
      <c r="F552" s="136">
        <v>10000</v>
      </c>
      <c r="G552" s="136">
        <v>0</v>
      </c>
      <c r="H552" s="136">
        <v>0</v>
      </c>
      <c r="I552" s="207"/>
      <c r="J552" s="207">
        <f t="shared" si="31"/>
        <v>0</v>
      </c>
    </row>
    <row r="553" spans="1:10" s="73" customFormat="1" ht="12.75">
      <c r="A553" s="147">
        <f t="shared" si="28"/>
        <v>475</v>
      </c>
      <c r="B553" s="75">
        <v>75412</v>
      </c>
      <c r="C553" s="118" t="s">
        <v>26</v>
      </c>
      <c r="D553" s="63"/>
      <c r="E553" s="64">
        <f>SUM(E554:E570)</f>
        <v>53500</v>
      </c>
      <c r="F553" s="63">
        <f>+F554+F555+F559+F560+F561+F562+F563+F564+F565+F566+F567+F568+F569+F570+F572+F574+F575</f>
        <v>117088</v>
      </c>
      <c r="G553" s="63">
        <f>+G554+G555+G559+G560+G561+G562+G563+G564+G565+G566+G567+G568+G569+G570+G572+G574+G575</f>
        <v>117088</v>
      </c>
      <c r="H553" s="63">
        <f>+H554+H555+H559+H560+H561+H562+H563+H564+H565+H566+H567+H568+H569+H570+H572+H574+H575</f>
        <v>375208</v>
      </c>
      <c r="I553" s="207">
        <f t="shared" si="29"/>
        <v>3.2044957638699096</v>
      </c>
      <c r="J553" s="207">
        <f t="shared" si="31"/>
        <v>0.00560166558057111</v>
      </c>
    </row>
    <row r="554" spans="1:10" ht="12.75">
      <c r="A554" s="147">
        <f t="shared" si="28"/>
        <v>476</v>
      </c>
      <c r="B554" s="4">
        <v>3020</v>
      </c>
      <c r="C554" s="79" t="s">
        <v>218</v>
      </c>
      <c r="D554" s="25"/>
      <c r="E554" s="46">
        <v>3500</v>
      </c>
      <c r="F554" s="131">
        <v>28000</v>
      </c>
      <c r="G554" s="131">
        <v>28000</v>
      </c>
      <c r="H554" s="131">
        <f>6000+20000+240</f>
        <v>26240</v>
      </c>
      <c r="I554" s="207">
        <f t="shared" si="29"/>
        <v>0.9371428571428572</v>
      </c>
      <c r="J554" s="207">
        <f t="shared" si="31"/>
        <v>0.0003917499222676114</v>
      </c>
    </row>
    <row r="555" spans="1:10" s="19" customFormat="1" ht="12.75">
      <c r="A555" s="147">
        <f t="shared" si="28"/>
        <v>477</v>
      </c>
      <c r="B555" s="14">
        <v>4010</v>
      </c>
      <c r="C555" s="79" t="s">
        <v>27</v>
      </c>
      <c r="D555" s="28"/>
      <c r="E555" s="46">
        <v>18100</v>
      </c>
      <c r="F555" s="131">
        <f>SUM(F557:F558)</f>
        <v>21000</v>
      </c>
      <c r="G555" s="131">
        <f>SUM(G557:G558)</f>
        <v>21000</v>
      </c>
      <c r="H555" s="131">
        <f>SUM(H557:H558)</f>
        <v>50000</v>
      </c>
      <c r="I555" s="207">
        <f t="shared" si="29"/>
        <v>2.380952380952381</v>
      </c>
      <c r="J555" s="207">
        <f t="shared" si="31"/>
        <v>0.000746474699442857</v>
      </c>
    </row>
    <row r="556" spans="1:10" ht="12.75">
      <c r="A556" s="147">
        <f t="shared" si="28"/>
        <v>478</v>
      </c>
      <c r="B556" s="4"/>
      <c r="C556" s="79" t="s">
        <v>15</v>
      </c>
      <c r="D556" s="25"/>
      <c r="E556" s="46"/>
      <c r="F556" s="131"/>
      <c r="G556" s="131"/>
      <c r="H556" s="131"/>
      <c r="I556" s="207"/>
      <c r="J556" s="207"/>
    </row>
    <row r="557" spans="1:10" ht="12.75">
      <c r="A557" s="147">
        <f t="shared" si="28"/>
        <v>479</v>
      </c>
      <c r="B557" s="4"/>
      <c r="C557" s="79" t="s">
        <v>690</v>
      </c>
      <c r="D557" s="25"/>
      <c r="E557" s="46"/>
      <c r="F557" s="131">
        <v>21000</v>
      </c>
      <c r="G557" s="131">
        <v>21000</v>
      </c>
      <c r="H557" s="131">
        <f>50000-H558</f>
        <v>40000</v>
      </c>
      <c r="I557" s="207">
        <f t="shared" si="29"/>
        <v>1.9047619047619047</v>
      </c>
      <c r="J557" s="207">
        <f>H557/$H$1431</f>
        <v>0.0005971797595542857</v>
      </c>
    </row>
    <row r="558" spans="1:10" ht="12.75">
      <c r="A558" s="147">
        <f t="shared" si="28"/>
        <v>480</v>
      </c>
      <c r="B558" s="4"/>
      <c r="C558" s="79" t="s">
        <v>691</v>
      </c>
      <c r="D558" s="25"/>
      <c r="E558" s="46"/>
      <c r="F558" s="131">
        <v>0</v>
      </c>
      <c r="G558" s="131">
        <v>0</v>
      </c>
      <c r="H558" s="131">
        <v>10000</v>
      </c>
      <c r="I558" s="207"/>
      <c r="J558" s="207"/>
    </row>
    <row r="559" spans="1:10" s="19" customFormat="1" ht="12.75">
      <c r="A559" s="147">
        <f t="shared" si="28"/>
        <v>481</v>
      </c>
      <c r="B559" s="14">
        <v>4040</v>
      </c>
      <c r="C559" s="79" t="s">
        <v>28</v>
      </c>
      <c r="D559" s="28"/>
      <c r="E559" s="46">
        <v>1400</v>
      </c>
      <c r="F559" s="131">
        <v>1031</v>
      </c>
      <c r="G559" s="131">
        <v>1031</v>
      </c>
      <c r="H559" s="131">
        <v>1600</v>
      </c>
      <c r="I559" s="207">
        <f t="shared" si="29"/>
        <v>1.5518913676042676</v>
      </c>
      <c r="J559" s="207">
        <f>I559/G559</f>
        <v>0.0015052292605279027</v>
      </c>
    </row>
    <row r="560" spans="1:10" ht="12.75">
      <c r="A560" s="147">
        <f t="shared" si="28"/>
        <v>482</v>
      </c>
      <c r="B560" s="4">
        <v>4110</v>
      </c>
      <c r="C560" s="79" t="s">
        <v>32</v>
      </c>
      <c r="D560" s="25"/>
      <c r="E560" s="46">
        <v>3500</v>
      </c>
      <c r="F560" s="131">
        <v>3800</v>
      </c>
      <c r="G560" s="131">
        <v>3800</v>
      </c>
      <c r="H560" s="131">
        <v>7800</v>
      </c>
      <c r="I560" s="207">
        <f t="shared" si="29"/>
        <v>2.0526315789473686</v>
      </c>
      <c r="J560" s="207">
        <f>H560/$H$1431</f>
        <v>0.00011645005311308569</v>
      </c>
    </row>
    <row r="561" spans="1:10" ht="12.75">
      <c r="A561" s="147">
        <f t="shared" si="28"/>
        <v>483</v>
      </c>
      <c r="B561" s="4">
        <v>4120</v>
      </c>
      <c r="C561" s="79" t="s">
        <v>33</v>
      </c>
      <c r="D561" s="25"/>
      <c r="E561" s="46">
        <v>500</v>
      </c>
      <c r="F561" s="131">
        <v>550</v>
      </c>
      <c r="G561" s="131">
        <v>550</v>
      </c>
      <c r="H561" s="131">
        <v>1300</v>
      </c>
      <c r="I561" s="207">
        <f t="shared" si="29"/>
        <v>2.3636363636363638</v>
      </c>
      <c r="J561" s="207">
        <f>H561/$H$1431</f>
        <v>1.9408342185514283E-05</v>
      </c>
    </row>
    <row r="562" spans="1:10" ht="12.75">
      <c r="A562" s="147">
        <f t="shared" si="28"/>
        <v>484</v>
      </c>
      <c r="B562" s="4">
        <v>4140</v>
      </c>
      <c r="C562" s="79" t="s">
        <v>155</v>
      </c>
      <c r="D562" s="25"/>
      <c r="E562" s="46">
        <v>200</v>
      </c>
      <c r="F562" s="131">
        <v>700</v>
      </c>
      <c r="G562" s="131">
        <v>700</v>
      </c>
      <c r="H562" s="131">
        <v>1728</v>
      </c>
      <c r="I562" s="207">
        <f t="shared" si="29"/>
        <v>2.4685714285714284</v>
      </c>
      <c r="J562" s="207">
        <f>H562/$H$1431</f>
        <v>2.579816561274514E-05</v>
      </c>
    </row>
    <row r="563" spans="1:10" ht="12.75">
      <c r="A563" s="147">
        <f t="shared" si="28"/>
        <v>485</v>
      </c>
      <c r="B563" s="4">
        <v>4210</v>
      </c>
      <c r="C563" s="79" t="s">
        <v>132</v>
      </c>
      <c r="D563" s="25"/>
      <c r="E563" s="46">
        <v>9500</v>
      </c>
      <c r="F563" s="131">
        <v>28200</v>
      </c>
      <c r="G563" s="131">
        <v>28200</v>
      </c>
      <c r="H563" s="131">
        <v>39600</v>
      </c>
      <c r="I563" s="207">
        <f t="shared" si="29"/>
        <v>1.4042553191489362</v>
      </c>
      <c r="J563" s="207">
        <f aca="true" t="shared" si="32" ref="J563:J570">H563/$H$1431</f>
        <v>0.0005912079619587428</v>
      </c>
    </row>
    <row r="564" spans="1:10" ht="12.75">
      <c r="A564" s="147">
        <f t="shared" si="28"/>
        <v>486</v>
      </c>
      <c r="B564" s="4">
        <v>4260</v>
      </c>
      <c r="C564" s="79" t="s">
        <v>134</v>
      </c>
      <c r="D564" s="25"/>
      <c r="E564" s="46">
        <v>3000</v>
      </c>
      <c r="F564" s="131">
        <v>7000</v>
      </c>
      <c r="G564" s="131">
        <v>7000</v>
      </c>
      <c r="H564" s="131">
        <v>10500</v>
      </c>
      <c r="I564" s="207">
        <f t="shared" si="29"/>
        <v>1.5</v>
      </c>
      <c r="J564" s="207">
        <f t="shared" si="32"/>
        <v>0.00015675968688299996</v>
      </c>
    </row>
    <row r="565" spans="1:10" ht="12.75">
      <c r="A565" s="147">
        <f t="shared" si="28"/>
        <v>487</v>
      </c>
      <c r="B565" s="4">
        <v>4270</v>
      </c>
      <c r="C565" s="79" t="s">
        <v>131</v>
      </c>
      <c r="D565" s="25"/>
      <c r="E565" s="46">
        <v>5000</v>
      </c>
      <c r="F565" s="131">
        <v>4000</v>
      </c>
      <c r="G565" s="131">
        <v>4000</v>
      </c>
      <c r="H565" s="131">
        <v>9000</v>
      </c>
      <c r="I565" s="207">
        <f t="shared" si="29"/>
        <v>2.25</v>
      </c>
      <c r="J565" s="207">
        <f t="shared" si="32"/>
        <v>0.00013436544589971427</v>
      </c>
    </row>
    <row r="566" spans="1:10" ht="12.75">
      <c r="A566" s="147">
        <f t="shared" si="28"/>
        <v>488</v>
      </c>
      <c r="B566" s="4">
        <v>4280</v>
      </c>
      <c r="C566" s="79" t="s">
        <v>252</v>
      </c>
      <c r="D566" s="25"/>
      <c r="E566" s="46"/>
      <c r="F566" s="131">
        <v>600</v>
      </c>
      <c r="G566" s="131">
        <v>600</v>
      </c>
      <c r="H566" s="131">
        <v>0</v>
      </c>
      <c r="I566" s="207">
        <f t="shared" si="29"/>
        <v>0</v>
      </c>
      <c r="J566" s="207">
        <f t="shared" si="32"/>
        <v>0</v>
      </c>
    </row>
    <row r="567" spans="1:10" ht="12.75" customHeight="1">
      <c r="A567" s="147">
        <f t="shared" si="28"/>
        <v>489</v>
      </c>
      <c r="B567" s="4">
        <v>4300</v>
      </c>
      <c r="C567" s="79" t="s">
        <v>130</v>
      </c>
      <c r="D567" s="25"/>
      <c r="E567" s="46">
        <v>4000</v>
      </c>
      <c r="F567" s="131">
        <v>7800</v>
      </c>
      <c r="G567" s="131">
        <v>7800</v>
      </c>
      <c r="H567" s="131">
        <f>5000+1000+1500+2000</f>
        <v>9500</v>
      </c>
      <c r="I567" s="207">
        <f t="shared" si="29"/>
        <v>1.2179487179487178</v>
      </c>
      <c r="J567" s="207">
        <f t="shared" si="32"/>
        <v>0.00014183019289414284</v>
      </c>
    </row>
    <row r="568" spans="1:10" ht="12.75">
      <c r="A568" s="147">
        <f t="shared" si="28"/>
        <v>490</v>
      </c>
      <c r="B568" s="4">
        <v>4410</v>
      </c>
      <c r="C568" s="79" t="s">
        <v>29</v>
      </c>
      <c r="D568" s="25"/>
      <c r="E568" s="46">
        <v>1200</v>
      </c>
      <c r="F568" s="131">
        <v>1500</v>
      </c>
      <c r="G568" s="131">
        <v>1500</v>
      </c>
      <c r="H568" s="131">
        <v>1500</v>
      </c>
      <c r="I568" s="207">
        <f t="shared" si="29"/>
        <v>1</v>
      </c>
      <c r="J568" s="207">
        <f t="shared" si="32"/>
        <v>2.239424098328571E-05</v>
      </c>
    </row>
    <row r="569" spans="1:10" ht="12.75">
      <c r="A569" s="147">
        <f t="shared" si="28"/>
        <v>491</v>
      </c>
      <c r="B569" s="4">
        <v>4430</v>
      </c>
      <c r="C569" s="79" t="s">
        <v>31</v>
      </c>
      <c r="D569" s="25"/>
      <c r="E569" s="46">
        <v>3000</v>
      </c>
      <c r="F569" s="131">
        <v>8000</v>
      </c>
      <c r="G569" s="131">
        <v>8000</v>
      </c>
      <c r="H569" s="131">
        <v>6500</v>
      </c>
      <c r="I569" s="207">
        <f t="shared" si="29"/>
        <v>0.8125</v>
      </c>
      <c r="J569" s="207">
        <f t="shared" si="32"/>
        <v>9.704171092757142E-05</v>
      </c>
    </row>
    <row r="570" spans="1:10" ht="12.75">
      <c r="A570" s="147">
        <f t="shared" si="28"/>
        <v>492</v>
      </c>
      <c r="B570" s="4">
        <v>4440</v>
      </c>
      <c r="C570" s="79" t="s">
        <v>34</v>
      </c>
      <c r="D570" s="25"/>
      <c r="E570" s="46">
        <v>600</v>
      </c>
      <c r="F570" s="131">
        <v>907</v>
      </c>
      <c r="G570" s="131">
        <v>907</v>
      </c>
      <c r="H570" s="131">
        <v>940</v>
      </c>
      <c r="I570" s="207">
        <f t="shared" si="29"/>
        <v>1.0363836824696802</v>
      </c>
      <c r="J570" s="207">
        <f t="shared" si="32"/>
        <v>1.4033724349525713E-05</v>
      </c>
    </row>
    <row r="571" spans="1:10" ht="12.75">
      <c r="A571" s="147">
        <f t="shared" si="28"/>
        <v>493</v>
      </c>
      <c r="B571" s="4">
        <v>4700</v>
      </c>
      <c r="C571" s="117" t="s">
        <v>297</v>
      </c>
      <c r="D571" s="25"/>
      <c r="E571" s="46"/>
      <c r="F571" s="131"/>
      <c r="G571" s="131"/>
      <c r="H571" s="131"/>
      <c r="I571" s="207"/>
      <c r="J571" s="207"/>
    </row>
    <row r="572" spans="1:10" ht="12.75">
      <c r="A572" s="147">
        <f t="shared" si="28"/>
        <v>494</v>
      </c>
      <c r="B572" s="4"/>
      <c r="C572" s="117" t="s">
        <v>296</v>
      </c>
      <c r="D572" s="25"/>
      <c r="E572" s="46"/>
      <c r="F572" s="131">
        <v>4000</v>
      </c>
      <c r="G572" s="131">
        <v>4000</v>
      </c>
      <c r="H572" s="131">
        <v>4000</v>
      </c>
      <c r="I572" s="207">
        <f t="shared" si="29"/>
        <v>1</v>
      </c>
      <c r="J572" s="207">
        <f>H572/$H$1431</f>
        <v>5.9717975955428565E-05</v>
      </c>
    </row>
    <row r="573" spans="1:10" ht="12.75">
      <c r="A573" s="147">
        <f t="shared" si="28"/>
        <v>495</v>
      </c>
      <c r="B573" s="4">
        <v>6050</v>
      </c>
      <c r="C573" s="79" t="s">
        <v>182</v>
      </c>
      <c r="D573" s="25"/>
      <c r="E573" s="46"/>
      <c r="F573" s="131"/>
      <c r="G573" s="131"/>
      <c r="H573" s="131"/>
      <c r="I573" s="207"/>
      <c r="J573" s="207"/>
    </row>
    <row r="574" spans="1:10" ht="12.75">
      <c r="A574" s="147">
        <f t="shared" si="28"/>
        <v>496</v>
      </c>
      <c r="B574" s="4"/>
      <c r="C574" s="101" t="s">
        <v>574</v>
      </c>
      <c r="D574" s="25"/>
      <c r="E574" s="46"/>
      <c r="F574" s="28">
        <v>0</v>
      </c>
      <c r="G574" s="131">
        <v>0</v>
      </c>
      <c r="H574" s="131">
        <v>30000</v>
      </c>
      <c r="I574" s="207"/>
      <c r="J574" s="207">
        <f>H574/$H$1431</f>
        <v>0.0004478848196657142</v>
      </c>
    </row>
    <row r="575" spans="1:10" ht="12.75">
      <c r="A575" s="147">
        <f>A574+1</f>
        <v>497</v>
      </c>
      <c r="B575" s="4">
        <v>6060</v>
      </c>
      <c r="C575" s="79" t="s">
        <v>365</v>
      </c>
      <c r="D575" s="25"/>
      <c r="E575" s="46"/>
      <c r="F575" s="131">
        <f>SUM(F577:F579)</f>
        <v>0</v>
      </c>
      <c r="G575" s="131">
        <f>SUM(G577:G579)</f>
        <v>0</v>
      </c>
      <c r="H575" s="131">
        <f>SUM(H577:H579)</f>
        <v>175000</v>
      </c>
      <c r="I575" s="207"/>
      <c r="J575" s="207">
        <f>H575/$H$1431</f>
        <v>0.0026126614480499995</v>
      </c>
    </row>
    <row r="576" spans="1:10" ht="12.75">
      <c r="A576" s="147">
        <f t="shared" si="28"/>
        <v>498</v>
      </c>
      <c r="B576" s="4"/>
      <c r="C576" s="79" t="s">
        <v>15</v>
      </c>
      <c r="D576" s="25"/>
      <c r="E576" s="46"/>
      <c r="F576" s="131"/>
      <c r="G576" s="131"/>
      <c r="H576" s="131"/>
      <c r="I576" s="207"/>
      <c r="J576" s="207"/>
    </row>
    <row r="577" spans="1:10" ht="12.75">
      <c r="A577" s="147">
        <f t="shared" si="28"/>
        <v>499</v>
      </c>
      <c r="B577" s="4"/>
      <c r="C577" s="79" t="s">
        <v>575</v>
      </c>
      <c r="D577" s="25"/>
      <c r="E577" s="46"/>
      <c r="F577" s="131">
        <v>0</v>
      </c>
      <c r="G577" s="131">
        <v>0</v>
      </c>
      <c r="H577" s="131">
        <v>30000</v>
      </c>
      <c r="I577" s="207"/>
      <c r="J577" s="207">
        <f aca="true" t="shared" si="33" ref="J577:J582">H577/$H$1431</f>
        <v>0.0004478848196657142</v>
      </c>
    </row>
    <row r="578" spans="1:10" ht="12.75">
      <c r="A578" s="147">
        <f t="shared" si="28"/>
        <v>500</v>
      </c>
      <c r="B578" s="4"/>
      <c r="C578" s="79" t="s">
        <v>576</v>
      </c>
      <c r="D578" s="25"/>
      <c r="E578" s="46"/>
      <c r="F578" s="131">
        <v>0</v>
      </c>
      <c r="G578" s="131">
        <v>0</v>
      </c>
      <c r="H578" s="131">
        <v>130000</v>
      </c>
      <c r="I578" s="207"/>
      <c r="J578" s="207">
        <f t="shared" si="33"/>
        <v>0.0019408342185514283</v>
      </c>
    </row>
    <row r="579" spans="1:10" ht="12.75">
      <c r="A579" s="147">
        <f t="shared" si="28"/>
        <v>501</v>
      </c>
      <c r="B579" s="4"/>
      <c r="C579" s="79" t="s">
        <v>577</v>
      </c>
      <c r="D579" s="25"/>
      <c r="E579" s="46"/>
      <c r="F579" s="131">
        <v>0</v>
      </c>
      <c r="G579" s="131">
        <v>0</v>
      </c>
      <c r="H579" s="131">
        <v>15000</v>
      </c>
      <c r="I579" s="207"/>
      <c r="J579" s="207">
        <f t="shared" si="33"/>
        <v>0.0002239424098328571</v>
      </c>
    </row>
    <row r="580" spans="1:10" s="73" customFormat="1" ht="12.75">
      <c r="A580" s="147">
        <f t="shared" si="28"/>
        <v>502</v>
      </c>
      <c r="B580" s="75">
        <v>75414</v>
      </c>
      <c r="C580" s="118" t="s">
        <v>103</v>
      </c>
      <c r="D580" s="63"/>
      <c r="E580" s="64">
        <f>SUM(E581:E584)</f>
        <v>3000</v>
      </c>
      <c r="F580" s="63">
        <f>SUM(F581:F584)</f>
        <v>3850</v>
      </c>
      <c r="G580" s="63">
        <f>SUM(G581:G584)</f>
        <v>3850</v>
      </c>
      <c r="H580" s="63">
        <f>SUM(H581:H584)</f>
        <v>9850</v>
      </c>
      <c r="I580" s="207">
        <f t="shared" si="29"/>
        <v>2.5584415584415585</v>
      </c>
      <c r="J580" s="207">
        <f t="shared" si="33"/>
        <v>0.00014705551579024284</v>
      </c>
    </row>
    <row r="581" spans="1:10" s="41" customFormat="1" ht="14.25">
      <c r="A581" s="147">
        <f t="shared" si="28"/>
        <v>503</v>
      </c>
      <c r="B581" s="15">
        <v>4210</v>
      </c>
      <c r="C581" s="117" t="s">
        <v>132</v>
      </c>
      <c r="D581" s="25"/>
      <c r="E581" s="46">
        <v>1000</v>
      </c>
      <c r="F581" s="131">
        <v>2000</v>
      </c>
      <c r="G581" s="131">
        <v>2000</v>
      </c>
      <c r="H581" s="131">
        <f>400+600+7500</f>
        <v>8500</v>
      </c>
      <c r="I581" s="207">
        <f t="shared" si="29"/>
        <v>4.25</v>
      </c>
      <c r="J581" s="207">
        <f t="shared" si="33"/>
        <v>0.0001269006989052857</v>
      </c>
    </row>
    <row r="582" spans="1:10" s="41" customFormat="1" ht="14.25">
      <c r="A582" s="147">
        <f t="shared" si="28"/>
        <v>504</v>
      </c>
      <c r="B582" s="15">
        <v>4260</v>
      </c>
      <c r="C582" s="117" t="s">
        <v>134</v>
      </c>
      <c r="D582" s="25"/>
      <c r="E582" s="46"/>
      <c r="F582" s="131">
        <v>350</v>
      </c>
      <c r="G582" s="131">
        <v>350</v>
      </c>
      <c r="H582" s="131">
        <v>350</v>
      </c>
      <c r="I582" s="207">
        <f t="shared" si="29"/>
        <v>1</v>
      </c>
      <c r="J582" s="207">
        <f t="shared" si="33"/>
        <v>5.225322896099999E-06</v>
      </c>
    </row>
    <row r="583" spans="1:10" s="41" customFormat="1" ht="14.25">
      <c r="A583" s="147">
        <f t="shared" si="28"/>
        <v>505</v>
      </c>
      <c r="B583" s="15">
        <v>4270</v>
      </c>
      <c r="C583" s="117" t="s">
        <v>131</v>
      </c>
      <c r="D583" s="25"/>
      <c r="E583" s="46"/>
      <c r="F583" s="131">
        <v>0</v>
      </c>
      <c r="G583" s="131">
        <v>0</v>
      </c>
      <c r="H583" s="131">
        <v>1000</v>
      </c>
      <c r="I583" s="207"/>
      <c r="J583" s="207"/>
    </row>
    <row r="584" spans="1:10" s="41" customFormat="1" ht="14.25">
      <c r="A584" s="147">
        <f t="shared" si="28"/>
        <v>506</v>
      </c>
      <c r="B584" s="15">
        <v>4300</v>
      </c>
      <c r="C584" s="117" t="s">
        <v>130</v>
      </c>
      <c r="D584" s="25"/>
      <c r="E584" s="46">
        <f>3000-1000</f>
        <v>2000</v>
      </c>
      <c r="F584" s="131">
        <v>1500</v>
      </c>
      <c r="G584" s="131">
        <v>1500</v>
      </c>
      <c r="H584" s="131">
        <v>0</v>
      </c>
      <c r="I584" s="207">
        <f t="shared" si="29"/>
        <v>0</v>
      </c>
      <c r="J584" s="207">
        <f>H584/$H$1431</f>
        <v>0</v>
      </c>
    </row>
    <row r="585" spans="1:10" s="73" customFormat="1" ht="12.75">
      <c r="A585" s="147">
        <f t="shared" si="28"/>
        <v>507</v>
      </c>
      <c r="B585" s="75">
        <v>75416</v>
      </c>
      <c r="C585" s="118" t="s">
        <v>83</v>
      </c>
      <c r="D585" s="63"/>
      <c r="E585" s="64" t="e">
        <f>SUM(E586+E588+E592+E593+E594+E595+E596+E602+E606+E607+E608)</f>
        <v>#REF!</v>
      </c>
      <c r="F585" s="63">
        <f>+F587+F588+F592+F593+F594+F595+F596+F600+F601+F602+F606+F607+F608+F610+F611</f>
        <v>418112</v>
      </c>
      <c r="G585" s="63">
        <f>+G587+G588+G592+G593+G594+G595+G596+G600+G601+G602+G606+G607+G608+G610+G611</f>
        <v>415903</v>
      </c>
      <c r="H585" s="63">
        <f>+H587+H588+H592+H593+H594+H595+H596+H600+H601+H602+H606+H607+H608+H610+H611</f>
        <v>789250</v>
      </c>
      <c r="I585" s="207">
        <f t="shared" si="29"/>
        <v>1.8976780643563522</v>
      </c>
      <c r="J585" s="207">
        <f>H585/$H$1431</f>
        <v>0.011783103130705498</v>
      </c>
    </row>
    <row r="586" spans="1:10" ht="12.75">
      <c r="A586" s="147">
        <f t="shared" si="28"/>
        <v>508</v>
      </c>
      <c r="B586" s="15">
        <v>3020</v>
      </c>
      <c r="C586" s="79" t="s">
        <v>218</v>
      </c>
      <c r="D586" s="25"/>
      <c r="E586" s="45" t="e">
        <f>SUM(#REF!)</f>
        <v>#REF!</v>
      </c>
      <c r="F586" s="131"/>
      <c r="G586" s="131"/>
      <c r="H586" s="131"/>
      <c r="I586" s="207"/>
      <c r="J586" s="207"/>
    </row>
    <row r="587" spans="1:10" ht="12.75">
      <c r="A587" s="147">
        <f t="shared" si="28"/>
        <v>509</v>
      </c>
      <c r="B587" s="15"/>
      <c r="C587" s="79" t="s">
        <v>510</v>
      </c>
      <c r="D587" s="25"/>
      <c r="E587" s="46"/>
      <c r="F587" s="131">
        <v>15000</v>
      </c>
      <c r="G587" s="131">
        <v>15000</v>
      </c>
      <c r="H587" s="131">
        <f>6000+4800</f>
        <v>10800</v>
      </c>
      <c r="I587" s="207">
        <f>H587/G587</f>
        <v>0.72</v>
      </c>
      <c r="J587" s="207">
        <f>H587/$H$1431</f>
        <v>0.0001612385350796571</v>
      </c>
    </row>
    <row r="588" spans="1:10" ht="12.75">
      <c r="A588" s="147">
        <f t="shared" si="28"/>
        <v>510</v>
      </c>
      <c r="B588" s="15">
        <v>4010</v>
      </c>
      <c r="C588" s="117" t="s">
        <v>27</v>
      </c>
      <c r="D588" s="25"/>
      <c r="E588" s="46">
        <v>195000</v>
      </c>
      <c r="F588" s="131">
        <f>SUM(F590:F591)</f>
        <v>273400</v>
      </c>
      <c r="G588" s="131">
        <f>SUM(G590:G591)</f>
        <v>273400</v>
      </c>
      <c r="H588" s="131">
        <f>SUM(H590:H591)</f>
        <v>420000</v>
      </c>
      <c r="I588" s="207">
        <f>H588/G588</f>
        <v>1.5362106803218727</v>
      </c>
      <c r="J588" s="207">
        <f>H588/$H$1431</f>
        <v>0.006270387475319999</v>
      </c>
    </row>
    <row r="589" spans="1:10" ht="12.75">
      <c r="A589" s="147">
        <f t="shared" si="28"/>
        <v>511</v>
      </c>
      <c r="B589" s="15"/>
      <c r="C589" s="79" t="s">
        <v>15</v>
      </c>
      <c r="D589" s="25"/>
      <c r="E589" s="45"/>
      <c r="F589" s="131"/>
      <c r="G589" s="131"/>
      <c r="H589" s="131"/>
      <c r="I589" s="207"/>
      <c r="J589" s="207"/>
    </row>
    <row r="590" spans="1:10" ht="12.75">
      <c r="A590" s="147">
        <f t="shared" si="28"/>
        <v>512</v>
      </c>
      <c r="B590" s="15"/>
      <c r="C590" s="79" t="s">
        <v>690</v>
      </c>
      <c r="D590" s="25"/>
      <c r="E590" s="45"/>
      <c r="F590" s="131">
        <v>273400</v>
      </c>
      <c r="G590" s="131">
        <v>273400</v>
      </c>
      <c r="H590" s="131">
        <f>420000-H591</f>
        <v>350000</v>
      </c>
      <c r="I590" s="207">
        <f>H590/G590</f>
        <v>1.280175566934894</v>
      </c>
      <c r="J590" s="207">
        <f aca="true" t="shared" si="34" ref="J590:J596">H590/$H$1431</f>
        <v>0.005225322896099999</v>
      </c>
    </row>
    <row r="591" spans="1:10" ht="12.75">
      <c r="A591" s="147">
        <f t="shared" si="28"/>
        <v>513</v>
      </c>
      <c r="B591" s="15"/>
      <c r="C591" s="79" t="s">
        <v>691</v>
      </c>
      <c r="D591" s="25"/>
      <c r="E591" s="45"/>
      <c r="F591" s="131">
        <v>0</v>
      </c>
      <c r="G591" s="131">
        <v>0</v>
      </c>
      <c r="H591" s="131">
        <v>70000</v>
      </c>
      <c r="I591" s="207"/>
      <c r="J591" s="207">
        <f t="shared" si="34"/>
        <v>0.00104506457922</v>
      </c>
    </row>
    <row r="592" spans="1:10" ht="12.75">
      <c r="A592" s="147">
        <f t="shared" si="28"/>
        <v>514</v>
      </c>
      <c r="B592" s="15">
        <v>4040</v>
      </c>
      <c r="C592" s="117" t="s">
        <v>28</v>
      </c>
      <c r="D592" s="25"/>
      <c r="E592" s="46">
        <v>15000</v>
      </c>
      <c r="F592" s="131">
        <v>20165</v>
      </c>
      <c r="G592" s="131">
        <v>17956</v>
      </c>
      <c r="H592" s="131">
        <v>25000</v>
      </c>
      <c r="I592" s="207">
        <f>H592/G592</f>
        <v>1.392292269993317</v>
      </c>
      <c r="J592" s="207">
        <f t="shared" si="34"/>
        <v>0.0003732373497214285</v>
      </c>
    </row>
    <row r="593" spans="1:10" ht="12.75">
      <c r="A593" s="147">
        <f t="shared" si="28"/>
        <v>515</v>
      </c>
      <c r="B593" s="15">
        <v>4110</v>
      </c>
      <c r="C593" s="117" t="s">
        <v>432</v>
      </c>
      <c r="D593" s="25"/>
      <c r="E593" s="45">
        <v>37100</v>
      </c>
      <c r="F593" s="131">
        <v>50000</v>
      </c>
      <c r="G593" s="131">
        <v>50000</v>
      </c>
      <c r="H593" s="131">
        <v>64000</v>
      </c>
      <c r="I593" s="207">
        <f>H593/G593</f>
        <v>1.28</v>
      </c>
      <c r="J593" s="207">
        <f t="shared" si="34"/>
        <v>0.000955487615286857</v>
      </c>
    </row>
    <row r="594" spans="1:10" ht="12.75" customHeight="1">
      <c r="A594" s="147">
        <f>A593+1</f>
        <v>516</v>
      </c>
      <c r="B594" s="15">
        <v>4120</v>
      </c>
      <c r="C594" s="117" t="s">
        <v>33</v>
      </c>
      <c r="D594" s="25"/>
      <c r="E594" s="45">
        <v>5100</v>
      </c>
      <c r="F594" s="131">
        <v>7200</v>
      </c>
      <c r="G594" s="131">
        <v>7200</v>
      </c>
      <c r="H594" s="131">
        <v>10500</v>
      </c>
      <c r="I594" s="207">
        <f>H594/G594</f>
        <v>1.4583333333333333</v>
      </c>
      <c r="J594" s="207">
        <f t="shared" si="34"/>
        <v>0.00015675968688299996</v>
      </c>
    </row>
    <row r="595" spans="1:10" ht="12.75" customHeight="1">
      <c r="A595" s="147">
        <f aca="true" t="shared" si="35" ref="A595:A662">A594+1</f>
        <v>517</v>
      </c>
      <c r="B595" s="15">
        <v>4140</v>
      </c>
      <c r="C595" s="117" t="s">
        <v>155</v>
      </c>
      <c r="D595" s="25"/>
      <c r="E595" s="45">
        <v>1200</v>
      </c>
      <c r="F595" s="131">
        <v>5000</v>
      </c>
      <c r="G595" s="131">
        <v>5000</v>
      </c>
      <c r="H595" s="131">
        <v>6200</v>
      </c>
      <c r="I595" s="207">
        <f>H595/G595</f>
        <v>1.24</v>
      </c>
      <c r="J595" s="207">
        <f t="shared" si="34"/>
        <v>9.256286273091427E-05</v>
      </c>
    </row>
    <row r="596" spans="1:10" ht="12.75">
      <c r="A596" s="147">
        <f t="shared" si="35"/>
        <v>518</v>
      </c>
      <c r="B596" s="15">
        <v>4210</v>
      </c>
      <c r="C596" s="117" t="s">
        <v>132</v>
      </c>
      <c r="D596" s="25"/>
      <c r="E596" s="51">
        <f>SUM(E598:E599)</f>
        <v>7000</v>
      </c>
      <c r="F596" s="139">
        <f>SUM(F598:F599)</f>
        <v>16000</v>
      </c>
      <c r="G596" s="139">
        <f>SUM(G598:G599)</f>
        <v>16000</v>
      </c>
      <c r="H596" s="139">
        <f>SUM(H598:H599)</f>
        <v>16000</v>
      </c>
      <c r="I596" s="207">
        <f>H596/G596</f>
        <v>1</v>
      </c>
      <c r="J596" s="207">
        <f t="shared" si="34"/>
        <v>0.00023887190382171426</v>
      </c>
    </row>
    <row r="597" spans="1:10" ht="12.75">
      <c r="A597" s="147">
        <f t="shared" si="35"/>
        <v>519</v>
      </c>
      <c r="B597" s="15"/>
      <c r="C597" s="117" t="s">
        <v>15</v>
      </c>
      <c r="D597" s="25"/>
      <c r="E597" s="45"/>
      <c r="F597" s="131"/>
      <c r="G597" s="131"/>
      <c r="H597" s="131"/>
      <c r="I597" s="207"/>
      <c r="J597" s="207"/>
    </row>
    <row r="598" spans="1:10" ht="12.75">
      <c r="A598" s="147">
        <f t="shared" si="35"/>
        <v>520</v>
      </c>
      <c r="B598" s="15"/>
      <c r="C598" s="117" t="s">
        <v>82</v>
      </c>
      <c r="D598" s="25"/>
      <c r="E598" s="46">
        <v>6000</v>
      </c>
      <c r="F598" s="131">
        <v>10000</v>
      </c>
      <c r="G598" s="131">
        <v>10000</v>
      </c>
      <c r="H598" s="131">
        <v>8000</v>
      </c>
      <c r="I598" s="207">
        <f>H598/G598</f>
        <v>0.8</v>
      </c>
      <c r="J598" s="207">
        <f>H598/$H$1431</f>
        <v>0.00011943595191085713</v>
      </c>
    </row>
    <row r="599" spans="1:10" ht="12.75">
      <c r="A599" s="147">
        <f t="shared" si="35"/>
        <v>521</v>
      </c>
      <c r="B599" s="15"/>
      <c r="C599" s="117" t="s">
        <v>354</v>
      </c>
      <c r="D599" s="25"/>
      <c r="E599" s="46">
        <v>1000</v>
      </c>
      <c r="F599" s="131">
        <v>6000</v>
      </c>
      <c r="G599" s="131">
        <v>6000</v>
      </c>
      <c r="H599" s="131">
        <f>6000+2000</f>
        <v>8000</v>
      </c>
      <c r="I599" s="207">
        <f>H599/G599</f>
        <v>1.3333333333333333</v>
      </c>
      <c r="J599" s="207">
        <f>H599/$H$1431</f>
        <v>0.00011943595191085713</v>
      </c>
    </row>
    <row r="600" spans="1:10" ht="12.75">
      <c r="A600" s="147">
        <f t="shared" si="35"/>
        <v>522</v>
      </c>
      <c r="B600" s="15">
        <v>4270</v>
      </c>
      <c r="C600" s="117" t="s">
        <v>131</v>
      </c>
      <c r="D600" s="25"/>
      <c r="E600" s="46"/>
      <c r="F600" s="131">
        <v>4000</v>
      </c>
      <c r="G600" s="131">
        <v>4000</v>
      </c>
      <c r="H600" s="131">
        <v>2000</v>
      </c>
      <c r="I600" s="207">
        <f>H600/G600</f>
        <v>0.5</v>
      </c>
      <c r="J600" s="207">
        <f>H600/$H$1431</f>
        <v>2.9858987977714282E-05</v>
      </c>
    </row>
    <row r="601" spans="1:10" ht="12.75">
      <c r="A601" s="147">
        <f t="shared" si="35"/>
        <v>523</v>
      </c>
      <c r="B601" s="15">
        <v>4280</v>
      </c>
      <c r="C601" s="117" t="s">
        <v>252</v>
      </c>
      <c r="D601" s="25"/>
      <c r="E601" s="46"/>
      <c r="F601" s="131">
        <v>873</v>
      </c>
      <c r="G601" s="131">
        <v>873</v>
      </c>
      <c r="H601" s="131">
        <v>1200</v>
      </c>
      <c r="I601" s="207">
        <f>H601/G601</f>
        <v>1.3745704467353952</v>
      </c>
      <c r="J601" s="207">
        <f>H601/$H$1431</f>
        <v>1.7915392786628567E-05</v>
      </c>
    </row>
    <row r="602" spans="1:10" ht="12.75">
      <c r="A602" s="147">
        <f t="shared" si="35"/>
        <v>524</v>
      </c>
      <c r="B602" s="15">
        <v>4300</v>
      </c>
      <c r="C602" s="117" t="s">
        <v>130</v>
      </c>
      <c r="D602" s="25"/>
      <c r="E602" s="46">
        <v>9000</v>
      </c>
      <c r="F602" s="131">
        <f>SUM(F604:F605)</f>
        <v>4000</v>
      </c>
      <c r="G602" s="131">
        <f>SUM(G604:G605)</f>
        <v>4000</v>
      </c>
      <c r="H602" s="131">
        <f>SUM(H604:H605)</f>
        <v>14000</v>
      </c>
      <c r="I602" s="207">
        <f>H602/G602</f>
        <v>3.5</v>
      </c>
      <c r="J602" s="207">
        <f>H602/$H$1431</f>
        <v>0.00020901291584399996</v>
      </c>
    </row>
    <row r="603" spans="1:10" ht="12.75">
      <c r="A603" s="147">
        <f t="shared" si="35"/>
        <v>525</v>
      </c>
      <c r="B603" s="15"/>
      <c r="C603" s="117" t="s">
        <v>15</v>
      </c>
      <c r="D603" s="25"/>
      <c r="E603" s="46"/>
      <c r="F603" s="131"/>
      <c r="G603" s="131"/>
      <c r="H603" s="131"/>
      <c r="I603" s="207"/>
      <c r="J603" s="207"/>
    </row>
    <row r="604" spans="1:10" ht="12.75">
      <c r="A604" s="147">
        <f t="shared" si="35"/>
        <v>526</v>
      </c>
      <c r="B604" s="15"/>
      <c r="C604" s="117" t="s">
        <v>74</v>
      </c>
      <c r="D604" s="25"/>
      <c r="E604" s="46"/>
      <c r="F604" s="131">
        <v>0</v>
      </c>
      <c r="G604" s="131">
        <v>0</v>
      </c>
      <c r="H604" s="131">
        <v>10000</v>
      </c>
      <c r="I604" s="207"/>
      <c r="J604" s="207">
        <f>H604/$H$1431</f>
        <v>0.00014929493988857142</v>
      </c>
    </row>
    <row r="605" spans="1:10" ht="12.75">
      <c r="A605" s="147">
        <f t="shared" si="35"/>
        <v>527</v>
      </c>
      <c r="B605" s="15"/>
      <c r="C605" s="117" t="s">
        <v>638</v>
      </c>
      <c r="D605" s="25"/>
      <c r="E605" s="46"/>
      <c r="F605" s="131">
        <v>4000</v>
      </c>
      <c r="G605" s="131">
        <v>4000</v>
      </c>
      <c r="H605" s="131">
        <v>4000</v>
      </c>
      <c r="I605" s="207">
        <f>H605/G605</f>
        <v>1</v>
      </c>
      <c r="J605" s="207">
        <f>H605/$H$1431</f>
        <v>5.9717975955428565E-05</v>
      </c>
    </row>
    <row r="606" spans="1:10" ht="12.75">
      <c r="A606" s="147">
        <f t="shared" si="35"/>
        <v>528</v>
      </c>
      <c r="B606" s="15">
        <v>4410</v>
      </c>
      <c r="C606" s="117" t="s">
        <v>29</v>
      </c>
      <c r="D606" s="25"/>
      <c r="E606" s="51">
        <v>400</v>
      </c>
      <c r="F606" s="142">
        <v>4000</v>
      </c>
      <c r="G606" s="142">
        <v>4000</v>
      </c>
      <c r="H606" s="142">
        <v>4000</v>
      </c>
      <c r="I606" s="207">
        <f>H606/G606</f>
        <v>1</v>
      </c>
      <c r="J606" s="207">
        <f>H606/$H$1431</f>
        <v>5.9717975955428565E-05</v>
      </c>
    </row>
    <row r="607" spans="1:10" ht="12.75">
      <c r="A607" s="147">
        <f t="shared" si="35"/>
        <v>529</v>
      </c>
      <c r="B607" s="15">
        <v>4430</v>
      </c>
      <c r="C607" s="117" t="s">
        <v>39</v>
      </c>
      <c r="D607" s="25"/>
      <c r="E607" s="46">
        <v>3500</v>
      </c>
      <c r="F607" s="131">
        <v>8127</v>
      </c>
      <c r="G607" s="131">
        <v>8127</v>
      </c>
      <c r="H607" s="131">
        <v>5000</v>
      </c>
      <c r="I607" s="207">
        <f>H607/G607</f>
        <v>0.6152331733727082</v>
      </c>
      <c r="J607" s="207">
        <f>H607/$H$1431</f>
        <v>7.464746994428571E-05</v>
      </c>
    </row>
    <row r="608" spans="1:10" ht="12.75">
      <c r="A608" s="147">
        <f t="shared" si="35"/>
        <v>530</v>
      </c>
      <c r="B608" s="15">
        <v>4440</v>
      </c>
      <c r="C608" s="117" t="s">
        <v>436</v>
      </c>
      <c r="D608" s="25"/>
      <c r="E608" s="46">
        <v>2900</v>
      </c>
      <c r="F608" s="131">
        <v>6347</v>
      </c>
      <c r="G608" s="131">
        <v>6347</v>
      </c>
      <c r="H608" s="131">
        <v>6550</v>
      </c>
      <c r="I608" s="207">
        <f>H608/G608</f>
        <v>1.0319836143059713</v>
      </c>
      <c r="J608" s="207">
        <f>H608/$H$1431</f>
        <v>9.778818562701427E-05</v>
      </c>
    </row>
    <row r="609" spans="1:10" ht="12.75">
      <c r="A609" s="147">
        <f t="shared" si="35"/>
        <v>531</v>
      </c>
      <c r="B609" s="15">
        <v>4700</v>
      </c>
      <c r="C609" s="117" t="s">
        <v>297</v>
      </c>
      <c r="D609" s="25"/>
      <c r="E609" s="46"/>
      <c r="F609" s="131"/>
      <c r="G609" s="131"/>
      <c r="H609" s="131"/>
      <c r="I609" s="207"/>
      <c r="J609" s="207"/>
    </row>
    <row r="610" spans="1:10" ht="12.75">
      <c r="A610" s="147">
        <f t="shared" si="35"/>
        <v>532</v>
      </c>
      <c r="B610" s="15"/>
      <c r="C610" s="117" t="s">
        <v>296</v>
      </c>
      <c r="D610" s="25"/>
      <c r="E610" s="46"/>
      <c r="F610" s="131">
        <v>4000</v>
      </c>
      <c r="G610" s="131">
        <v>4000</v>
      </c>
      <c r="H610" s="131">
        <f>6000-2000</f>
        <v>4000</v>
      </c>
      <c r="I610" s="207">
        <f>H610/G610</f>
        <v>1</v>
      </c>
      <c r="J610" s="207">
        <f>H610/$H$1431</f>
        <v>5.9717975955428565E-05</v>
      </c>
    </row>
    <row r="611" spans="1:10" ht="12.75">
      <c r="A611" s="147">
        <f t="shared" si="35"/>
        <v>533</v>
      </c>
      <c r="B611" s="15">
        <v>6060</v>
      </c>
      <c r="C611" s="117" t="s">
        <v>151</v>
      </c>
      <c r="D611" s="25"/>
      <c r="E611" s="46"/>
      <c r="F611" s="131">
        <f>SUM(F613:F614)</f>
        <v>0</v>
      </c>
      <c r="G611" s="131">
        <f>SUM(G613:G614)</f>
        <v>0</v>
      </c>
      <c r="H611" s="131">
        <f>SUM(H613:H614)</f>
        <v>200000</v>
      </c>
      <c r="I611" s="207"/>
      <c r="J611" s="207">
        <f>H611/$H$1431</f>
        <v>0.002985898797771428</v>
      </c>
    </row>
    <row r="612" spans="1:10" ht="12.75">
      <c r="A612" s="147">
        <f t="shared" si="35"/>
        <v>534</v>
      </c>
      <c r="B612" s="15"/>
      <c r="C612" s="117" t="s">
        <v>15</v>
      </c>
      <c r="D612" s="25"/>
      <c r="E612" s="46"/>
      <c r="F612" s="131"/>
      <c r="G612" s="131"/>
      <c r="H612" s="131"/>
      <c r="I612" s="207"/>
      <c r="J612" s="207"/>
    </row>
    <row r="613" spans="1:10" ht="12.75">
      <c r="A613" s="147">
        <f t="shared" si="35"/>
        <v>535</v>
      </c>
      <c r="B613" s="15"/>
      <c r="C613" s="117" t="s">
        <v>572</v>
      </c>
      <c r="D613" s="25"/>
      <c r="E613" s="46"/>
      <c r="F613" s="131">
        <v>0</v>
      </c>
      <c r="G613" s="131">
        <v>0</v>
      </c>
      <c r="H613" s="131">
        <v>100000</v>
      </c>
      <c r="I613" s="207"/>
      <c r="J613" s="207">
        <f aca="true" t="shared" si="36" ref="J613:J619">H613/$H$1431</f>
        <v>0.001492949398885714</v>
      </c>
    </row>
    <row r="614" spans="1:10" ht="12.75">
      <c r="A614" s="147">
        <f t="shared" si="35"/>
        <v>536</v>
      </c>
      <c r="B614" s="15"/>
      <c r="C614" s="117" t="s">
        <v>573</v>
      </c>
      <c r="D614" s="25"/>
      <c r="E614" s="46"/>
      <c r="F614" s="131">
        <v>0</v>
      </c>
      <c r="G614" s="131">
        <v>0</v>
      </c>
      <c r="H614" s="131">
        <v>100000</v>
      </c>
      <c r="I614" s="207"/>
      <c r="J614" s="207">
        <f t="shared" si="36"/>
        <v>0.001492949398885714</v>
      </c>
    </row>
    <row r="615" spans="1:10" s="166" customFormat="1" ht="12.75">
      <c r="A615" s="147">
        <f t="shared" si="35"/>
        <v>537</v>
      </c>
      <c r="B615" s="148">
        <v>75421</v>
      </c>
      <c r="C615" s="149" t="s">
        <v>685</v>
      </c>
      <c r="D615" s="146"/>
      <c r="E615" s="150"/>
      <c r="F615" s="151">
        <f>SUM(F616:F617)</f>
        <v>0</v>
      </c>
      <c r="G615" s="151">
        <f>SUM(G616:G617)</f>
        <v>0</v>
      </c>
      <c r="H615" s="151">
        <f>SUM(H616:H617)</f>
        <v>20000</v>
      </c>
      <c r="I615" s="207"/>
      <c r="J615" s="207">
        <f t="shared" si="36"/>
        <v>0.00029858987977714283</v>
      </c>
    </row>
    <row r="616" spans="1:10" ht="12.75">
      <c r="A616" s="147">
        <f t="shared" si="35"/>
        <v>538</v>
      </c>
      <c r="B616" s="15">
        <v>4210</v>
      </c>
      <c r="C616" s="117" t="s">
        <v>132</v>
      </c>
      <c r="D616" s="25"/>
      <c r="E616" s="46"/>
      <c r="F616" s="131">
        <v>0</v>
      </c>
      <c r="G616" s="131">
        <v>0</v>
      </c>
      <c r="H616" s="131">
        <v>10000</v>
      </c>
      <c r="I616" s="207"/>
      <c r="J616" s="207">
        <f t="shared" si="36"/>
        <v>0.00014929493988857142</v>
      </c>
    </row>
    <row r="617" spans="1:10" ht="12.75">
      <c r="A617" s="147">
        <f t="shared" si="35"/>
        <v>539</v>
      </c>
      <c r="B617" s="15">
        <v>4300</v>
      </c>
      <c r="C617" s="117" t="s">
        <v>130</v>
      </c>
      <c r="D617" s="25"/>
      <c r="E617" s="46"/>
      <c r="F617" s="131">
        <v>0</v>
      </c>
      <c r="G617" s="131">
        <v>0</v>
      </c>
      <c r="H617" s="131">
        <v>10000</v>
      </c>
      <c r="I617" s="207"/>
      <c r="J617" s="207">
        <f t="shared" si="36"/>
        <v>0.00014929493988857142</v>
      </c>
    </row>
    <row r="618" spans="1:10" ht="12.75">
      <c r="A618" s="147">
        <f t="shared" si="35"/>
        <v>540</v>
      </c>
      <c r="B618" s="148">
        <v>75495</v>
      </c>
      <c r="C618" s="149" t="s">
        <v>25</v>
      </c>
      <c r="D618" s="146"/>
      <c r="E618" s="150"/>
      <c r="F618" s="151">
        <f>SUM(F619:F623)</f>
        <v>608000</v>
      </c>
      <c r="G618" s="151">
        <f>SUM(G619:G623)</f>
        <v>608000</v>
      </c>
      <c r="H618" s="151">
        <f>SUM(H619:H623)</f>
        <v>403000</v>
      </c>
      <c r="I618" s="207">
        <f>H618/G618</f>
        <v>0.662828947368421</v>
      </c>
      <c r="J618" s="207">
        <f t="shared" si="36"/>
        <v>0.006016586077509428</v>
      </c>
    </row>
    <row r="619" spans="1:10" ht="12.75">
      <c r="A619" s="147">
        <f t="shared" si="35"/>
        <v>541</v>
      </c>
      <c r="B619" s="15">
        <v>4260</v>
      </c>
      <c r="C619" s="117" t="s">
        <v>276</v>
      </c>
      <c r="D619" s="25"/>
      <c r="E619" s="46"/>
      <c r="F619" s="131">
        <v>3000</v>
      </c>
      <c r="G619" s="131">
        <v>3000</v>
      </c>
      <c r="H619" s="131">
        <v>3000</v>
      </c>
      <c r="I619" s="207">
        <f>H619/G619</f>
        <v>1</v>
      </c>
      <c r="J619" s="207">
        <f t="shared" si="36"/>
        <v>4.478848196657142E-05</v>
      </c>
    </row>
    <row r="620" spans="1:10" ht="12.75">
      <c r="A620" s="147">
        <f t="shared" si="35"/>
        <v>542</v>
      </c>
      <c r="B620" s="15">
        <v>4300</v>
      </c>
      <c r="C620" s="117" t="s">
        <v>511</v>
      </c>
      <c r="D620" s="25"/>
      <c r="E620" s="46"/>
      <c r="F620" s="131"/>
      <c r="G620" s="131"/>
      <c r="H620" s="131"/>
      <c r="I620" s="207"/>
      <c r="J620" s="207"/>
    </row>
    <row r="621" spans="1:10" ht="12.75">
      <c r="A621" s="147">
        <f t="shared" si="35"/>
        <v>543</v>
      </c>
      <c r="B621" s="15"/>
      <c r="C621" s="117" t="s">
        <v>512</v>
      </c>
      <c r="D621" s="25"/>
      <c r="E621" s="46"/>
      <c r="F621" s="131">
        <v>205000</v>
      </c>
      <c r="G621" s="131">
        <v>205000</v>
      </c>
      <c r="H621" s="131">
        <v>0</v>
      </c>
      <c r="I621" s="207">
        <f>H621/G621</f>
        <v>0</v>
      </c>
      <c r="J621" s="207">
        <f>H621/$H$1431</f>
        <v>0</v>
      </c>
    </row>
    <row r="622" spans="1:10" ht="12.75">
      <c r="A622" s="147">
        <f t="shared" si="35"/>
        <v>544</v>
      </c>
      <c r="B622" s="15">
        <v>6050</v>
      </c>
      <c r="C622" s="79" t="s">
        <v>182</v>
      </c>
      <c r="D622" s="25"/>
      <c r="E622" s="46"/>
      <c r="F622" s="131"/>
      <c r="G622" s="131"/>
      <c r="H622" s="131"/>
      <c r="I622" s="207"/>
      <c r="J622" s="207"/>
    </row>
    <row r="623" spans="1:10" ht="12.75">
      <c r="A623" s="147">
        <f t="shared" si="35"/>
        <v>545</v>
      </c>
      <c r="B623" s="15"/>
      <c r="C623" s="117" t="s">
        <v>513</v>
      </c>
      <c r="D623" s="25"/>
      <c r="E623" s="46"/>
      <c r="F623" s="131">
        <v>400000</v>
      </c>
      <c r="G623" s="131">
        <v>400000</v>
      </c>
      <c r="H623" s="131">
        <v>400000</v>
      </c>
      <c r="I623" s="207"/>
      <c r="J623" s="207">
        <f>H623/$H$1431</f>
        <v>0.005971797595542856</v>
      </c>
    </row>
    <row r="624" spans="1:10" s="70" customFormat="1" ht="12.75">
      <c r="A624" s="147">
        <f t="shared" si="35"/>
        <v>546</v>
      </c>
      <c r="B624" s="76">
        <v>757</v>
      </c>
      <c r="C624" s="80" t="s">
        <v>104</v>
      </c>
      <c r="D624" s="58"/>
      <c r="E624" s="59" t="e">
        <f>E626</f>
        <v>#REF!</v>
      </c>
      <c r="F624" s="58">
        <f>F626</f>
        <v>383100</v>
      </c>
      <c r="G624" s="58">
        <f>G626</f>
        <v>378982.68</v>
      </c>
      <c r="H624" s="58">
        <f>H626</f>
        <v>600000</v>
      </c>
      <c r="I624" s="207">
        <f>H624/G624</f>
        <v>1.5831858068025695</v>
      </c>
      <c r="J624" s="207">
        <f>H624/$H$1431</f>
        <v>0.008957696393314285</v>
      </c>
    </row>
    <row r="625" spans="1:10" s="73" customFormat="1" ht="12.75">
      <c r="A625" s="147">
        <f t="shared" si="35"/>
        <v>547</v>
      </c>
      <c r="B625" s="75">
        <v>75702</v>
      </c>
      <c r="C625" s="118" t="s">
        <v>105</v>
      </c>
      <c r="D625" s="63"/>
      <c r="E625" s="72"/>
      <c r="F625" s="138"/>
      <c r="G625" s="138"/>
      <c r="H625" s="138"/>
      <c r="I625" s="207"/>
      <c r="J625" s="207"/>
    </row>
    <row r="626" spans="1:10" s="70" customFormat="1" ht="12.75">
      <c r="A626" s="147">
        <f t="shared" si="35"/>
        <v>548</v>
      </c>
      <c r="B626" s="76"/>
      <c r="C626" s="118" t="s">
        <v>106</v>
      </c>
      <c r="D626" s="58"/>
      <c r="E626" s="64" t="e">
        <f>#REF!+E631</f>
        <v>#REF!</v>
      </c>
      <c r="F626" s="63">
        <f>+F628+F631</f>
        <v>383100</v>
      </c>
      <c r="G626" s="63">
        <f>+G628+G631</f>
        <v>378982.68</v>
      </c>
      <c r="H626" s="63">
        <f>+H628+H631</f>
        <v>600000</v>
      </c>
      <c r="I626" s="207">
        <f>H626/G626</f>
        <v>1.5831858068025695</v>
      </c>
      <c r="J626" s="207">
        <f>H626/$H$1431</f>
        <v>0.008957696393314285</v>
      </c>
    </row>
    <row r="627" spans="1:10" ht="12.75">
      <c r="A627" s="147">
        <f t="shared" si="35"/>
        <v>549</v>
      </c>
      <c r="B627" s="4">
        <v>8010</v>
      </c>
      <c r="C627" s="79" t="s">
        <v>355</v>
      </c>
      <c r="D627" s="25"/>
      <c r="E627" s="47"/>
      <c r="F627" s="140"/>
      <c r="G627" s="140"/>
      <c r="H627" s="140"/>
      <c r="I627" s="207"/>
      <c r="J627" s="207"/>
    </row>
    <row r="628" spans="1:10" ht="12.75">
      <c r="A628" s="147">
        <f t="shared" si="35"/>
        <v>550</v>
      </c>
      <c r="B628" s="4"/>
      <c r="C628" s="79" t="s">
        <v>356</v>
      </c>
      <c r="D628" s="25"/>
      <c r="E628" s="47"/>
      <c r="F628" s="140">
        <v>2000</v>
      </c>
      <c r="G628" s="140">
        <v>2000</v>
      </c>
      <c r="H628" s="140">
        <v>2000</v>
      </c>
      <c r="I628" s="207">
        <f>H628/G628</f>
        <v>1</v>
      </c>
      <c r="J628" s="207">
        <f>H628/$H$1431</f>
        <v>2.9858987977714282E-05</v>
      </c>
    </row>
    <row r="629" spans="1:10" ht="12.75">
      <c r="A629" s="147"/>
      <c r="B629" s="4"/>
      <c r="C629" s="79"/>
      <c r="D629" s="25"/>
      <c r="E629" s="47"/>
      <c r="F629" s="140"/>
      <c r="G629" s="140"/>
      <c r="H629" s="140"/>
      <c r="I629" s="207"/>
      <c r="J629" s="207"/>
    </row>
    <row r="630" spans="1:10" ht="12.75">
      <c r="A630" s="147">
        <f>A628+1</f>
        <v>551</v>
      </c>
      <c r="B630" s="4">
        <v>8070</v>
      </c>
      <c r="C630" s="79" t="s">
        <v>135</v>
      </c>
      <c r="D630" s="25"/>
      <c r="E630" s="47"/>
      <c r="F630" s="140"/>
      <c r="G630" s="140"/>
      <c r="H630" s="140"/>
      <c r="I630" s="207"/>
      <c r="J630" s="207"/>
    </row>
    <row r="631" spans="1:10" ht="12.75">
      <c r="A631" s="147">
        <f t="shared" si="35"/>
        <v>552</v>
      </c>
      <c r="B631" s="4"/>
      <c r="C631" s="79" t="s">
        <v>136</v>
      </c>
      <c r="D631" s="25"/>
      <c r="E631" s="47">
        <f>SUM(E633:E635)</f>
        <v>554900</v>
      </c>
      <c r="F631" s="23">
        <f>SUM(F633:F637)</f>
        <v>381100</v>
      </c>
      <c r="G631" s="23">
        <f>SUM(G633:G637)</f>
        <v>376982.68</v>
      </c>
      <c r="H631" s="23">
        <f>SUM(H633:H637)</f>
        <v>598000</v>
      </c>
      <c r="I631" s="207">
        <f>H631/G631</f>
        <v>1.586279772853225</v>
      </c>
      <c r="J631" s="207">
        <f>H631/$H$1431</f>
        <v>0.00892783740533657</v>
      </c>
    </row>
    <row r="632" spans="1:10" ht="12.75">
      <c r="A632" s="147">
        <f t="shared" si="35"/>
        <v>553</v>
      </c>
      <c r="B632" s="4"/>
      <c r="C632" s="79" t="s">
        <v>15</v>
      </c>
      <c r="D632" s="25"/>
      <c r="E632" s="46"/>
      <c r="F632" s="131"/>
      <c r="G632" s="131"/>
      <c r="H632" s="131"/>
      <c r="I632" s="207"/>
      <c r="J632" s="207"/>
    </row>
    <row r="633" spans="1:10" ht="12.75">
      <c r="A633" s="147">
        <f t="shared" si="35"/>
        <v>554</v>
      </c>
      <c r="B633" s="4"/>
      <c r="C633" s="117" t="s">
        <v>197</v>
      </c>
      <c r="D633" s="25"/>
      <c r="E633" s="46">
        <v>26400</v>
      </c>
      <c r="F633" s="140">
        <v>232800</v>
      </c>
      <c r="G633" s="140">
        <v>232800</v>
      </c>
      <c r="H633" s="140">
        <v>230000</v>
      </c>
      <c r="I633" s="207">
        <f>H633/G633</f>
        <v>0.9879725085910653</v>
      </c>
      <c r="J633" s="207">
        <f aca="true" t="shared" si="37" ref="J633:J642">H633/$H$1431</f>
        <v>0.0034337836174371424</v>
      </c>
    </row>
    <row r="634" spans="1:10" ht="12.75">
      <c r="A634" s="147">
        <f t="shared" si="35"/>
        <v>555</v>
      </c>
      <c r="B634" s="4"/>
      <c r="C634" s="79" t="s">
        <v>152</v>
      </c>
      <c r="D634" s="25"/>
      <c r="E634" s="46">
        <v>68500</v>
      </c>
      <c r="F634" s="140">
        <v>0</v>
      </c>
      <c r="G634" s="140">
        <v>0</v>
      </c>
      <c r="H634" s="140">
        <v>27000</v>
      </c>
      <c r="I634" s="207"/>
      <c r="J634" s="207">
        <f t="shared" si="37"/>
        <v>0.00040309633769914277</v>
      </c>
    </row>
    <row r="635" spans="1:10" ht="12.75">
      <c r="A635" s="147">
        <f t="shared" si="35"/>
        <v>556</v>
      </c>
      <c r="B635" s="4"/>
      <c r="C635" s="117" t="s">
        <v>196</v>
      </c>
      <c r="D635" s="25"/>
      <c r="E635" s="46">
        <v>460000</v>
      </c>
      <c r="F635" s="140">
        <v>3200</v>
      </c>
      <c r="G635" s="140">
        <v>3182.68</v>
      </c>
      <c r="H635" s="140">
        <v>0</v>
      </c>
      <c r="I635" s="207">
        <f>H635/G635</f>
        <v>0</v>
      </c>
      <c r="J635" s="207">
        <f t="shared" si="37"/>
        <v>0</v>
      </c>
    </row>
    <row r="636" spans="1:10" ht="12.75">
      <c r="A636" s="147">
        <f t="shared" si="35"/>
        <v>557</v>
      </c>
      <c r="B636" s="4"/>
      <c r="C636" s="117" t="s">
        <v>548</v>
      </c>
      <c r="D636" s="25"/>
      <c r="E636" s="46"/>
      <c r="F636" s="140">
        <v>141000</v>
      </c>
      <c r="G636" s="140">
        <v>141000</v>
      </c>
      <c r="H636" s="140">
        <v>290000</v>
      </c>
      <c r="I636" s="207">
        <f>H636/G636</f>
        <v>2.0567375886524824</v>
      </c>
      <c r="J636" s="207">
        <f t="shared" si="37"/>
        <v>0.004329553256768571</v>
      </c>
    </row>
    <row r="637" spans="1:10" ht="12.75">
      <c r="A637" s="147">
        <f t="shared" si="35"/>
        <v>558</v>
      </c>
      <c r="B637" s="4"/>
      <c r="C637" s="117" t="s">
        <v>549</v>
      </c>
      <c r="D637" s="25"/>
      <c r="E637" s="46"/>
      <c r="F637" s="140">
        <v>4100</v>
      </c>
      <c r="G637" s="140">
        <v>0</v>
      </c>
      <c r="H637" s="140">
        <v>51000</v>
      </c>
      <c r="I637" s="207"/>
      <c r="J637" s="207">
        <f t="shared" si="37"/>
        <v>0.0007614041934317141</v>
      </c>
    </row>
    <row r="638" spans="1:10" s="70" customFormat="1" ht="12.75">
      <c r="A638" s="147">
        <f t="shared" si="35"/>
        <v>559</v>
      </c>
      <c r="B638" s="76">
        <v>758</v>
      </c>
      <c r="C638" s="80" t="s">
        <v>85</v>
      </c>
      <c r="D638" s="58"/>
      <c r="E638" s="59">
        <f>E639+E641</f>
        <v>183335</v>
      </c>
      <c r="F638" s="58">
        <f>F639+F641</f>
        <v>179350.35</v>
      </c>
      <c r="G638" s="58">
        <f>G639+G641</f>
        <v>0</v>
      </c>
      <c r="H638" s="58">
        <f>H639+H641</f>
        <v>365276</v>
      </c>
      <c r="I638" s="207"/>
      <c r="J638" s="207">
        <f t="shared" si="37"/>
        <v>0.005453385846273781</v>
      </c>
    </row>
    <row r="639" spans="1:10" s="73" customFormat="1" ht="12.75">
      <c r="A639" s="147">
        <f t="shared" si="35"/>
        <v>560</v>
      </c>
      <c r="B639" s="75">
        <v>75814</v>
      </c>
      <c r="C639" s="118" t="s">
        <v>153</v>
      </c>
      <c r="D639" s="63"/>
      <c r="E639" s="64">
        <f>E640</f>
        <v>33335</v>
      </c>
      <c r="F639" s="63">
        <f>F640</f>
        <v>0</v>
      </c>
      <c r="G639" s="63">
        <f>G640</f>
        <v>0</v>
      </c>
      <c r="H639" s="63">
        <f>H640</f>
        <v>52776</v>
      </c>
      <c r="I639" s="207"/>
      <c r="J639" s="207">
        <f t="shared" si="37"/>
        <v>0.0007879189747559245</v>
      </c>
    </row>
    <row r="640" spans="1:10" s="60" customFormat="1" ht="12.75">
      <c r="A640" s="147">
        <f t="shared" si="35"/>
        <v>561</v>
      </c>
      <c r="B640" s="95">
        <v>2930</v>
      </c>
      <c r="C640" s="117" t="s">
        <v>154</v>
      </c>
      <c r="D640" s="84"/>
      <c r="E640" s="82">
        <v>33335</v>
      </c>
      <c r="F640" s="131">
        <v>0</v>
      </c>
      <c r="G640" s="131">
        <v>0</v>
      </c>
      <c r="H640" s="131">
        <v>52776</v>
      </c>
      <c r="I640" s="207"/>
      <c r="J640" s="207">
        <f t="shared" si="37"/>
        <v>0.0007879189747559245</v>
      </c>
    </row>
    <row r="641" spans="1:10" s="73" customFormat="1" ht="12.75">
      <c r="A641" s="147">
        <f t="shared" si="35"/>
        <v>562</v>
      </c>
      <c r="B641" s="75">
        <v>75818</v>
      </c>
      <c r="C641" s="118" t="s">
        <v>86</v>
      </c>
      <c r="D641" s="63"/>
      <c r="E641" s="64">
        <f>E642</f>
        <v>150000</v>
      </c>
      <c r="F641" s="63">
        <f>F642</f>
        <v>179350.35</v>
      </c>
      <c r="G641" s="63">
        <f>G642</f>
        <v>0</v>
      </c>
      <c r="H641" s="63">
        <f>H642</f>
        <v>312500</v>
      </c>
      <c r="I641" s="207"/>
      <c r="J641" s="207">
        <f t="shared" si="37"/>
        <v>0.004665466871517856</v>
      </c>
    </row>
    <row r="642" spans="1:10" ht="12.75">
      <c r="A642" s="147">
        <f t="shared" si="35"/>
        <v>563</v>
      </c>
      <c r="B642" s="14">
        <v>4810</v>
      </c>
      <c r="C642" s="116" t="s">
        <v>87</v>
      </c>
      <c r="D642" s="28">
        <f>SUM(D643:D644)</f>
        <v>0</v>
      </c>
      <c r="E642" s="45">
        <f>SUM(E644:E644)</f>
        <v>150000</v>
      </c>
      <c r="F642" s="28">
        <f>SUM(F644:F648)</f>
        <v>179350.35</v>
      </c>
      <c r="G642" s="28">
        <f>SUM(G644:G648)</f>
        <v>0</v>
      </c>
      <c r="H642" s="28">
        <f>SUM(H644:H648)</f>
        <v>312500</v>
      </c>
      <c r="I642" s="207"/>
      <c r="J642" s="207">
        <f t="shared" si="37"/>
        <v>0.004665466871517856</v>
      </c>
    </row>
    <row r="643" spans="1:10" ht="12.75">
      <c r="A643" s="147">
        <f t="shared" si="35"/>
        <v>564</v>
      </c>
      <c r="B643" s="14"/>
      <c r="C643" s="116" t="s">
        <v>15</v>
      </c>
      <c r="D643" s="25"/>
      <c r="E643" s="46"/>
      <c r="F643" s="131"/>
      <c r="G643" s="131"/>
      <c r="H643" s="131"/>
      <c r="I643" s="207"/>
      <c r="J643" s="207"/>
    </row>
    <row r="644" spans="1:10" ht="12.75">
      <c r="A644" s="147">
        <f t="shared" si="35"/>
        <v>565</v>
      </c>
      <c r="B644" s="4"/>
      <c r="C644" s="79" t="s">
        <v>88</v>
      </c>
      <c r="D644" s="25"/>
      <c r="E644" s="46">
        <v>150000</v>
      </c>
      <c r="F644" s="131">
        <v>160892</v>
      </c>
      <c r="G644" s="131">
        <v>0</v>
      </c>
      <c r="H644" s="131">
        <v>200000</v>
      </c>
      <c r="I644" s="207"/>
      <c r="J644" s="207">
        <f>H644/$H$1431</f>
        <v>0.002985898797771428</v>
      </c>
    </row>
    <row r="645" spans="1:10" ht="12.75">
      <c r="A645" s="147">
        <f t="shared" si="35"/>
        <v>566</v>
      </c>
      <c r="B645" s="4"/>
      <c r="C645" s="79" t="s">
        <v>411</v>
      </c>
      <c r="D645" s="25"/>
      <c r="E645" s="46"/>
      <c r="F645" s="131">
        <v>0</v>
      </c>
      <c r="G645" s="131">
        <v>0</v>
      </c>
      <c r="H645" s="131">
        <v>0</v>
      </c>
      <c r="I645" s="207"/>
      <c r="J645" s="207"/>
    </row>
    <row r="646" spans="1:10" ht="12.75">
      <c r="A646" s="147">
        <f t="shared" si="35"/>
        <v>567</v>
      </c>
      <c r="B646" s="4"/>
      <c r="C646" s="79" t="s">
        <v>412</v>
      </c>
      <c r="D646" s="25"/>
      <c r="E646" s="46"/>
      <c r="F646" s="131">
        <v>18458.35</v>
      </c>
      <c r="G646" s="131">
        <v>0</v>
      </c>
      <c r="H646" s="131">
        <v>0</v>
      </c>
      <c r="I646" s="207"/>
      <c r="J646" s="207">
        <f>H646/$H$1431</f>
        <v>0</v>
      </c>
    </row>
    <row r="647" spans="1:10" ht="12.75">
      <c r="A647" s="147">
        <f t="shared" si="35"/>
        <v>568</v>
      </c>
      <c r="B647" s="4"/>
      <c r="C647" s="79" t="s">
        <v>694</v>
      </c>
      <c r="D647" s="25"/>
      <c r="E647" s="46"/>
      <c r="F647" s="131"/>
      <c r="G647" s="131"/>
      <c r="H647" s="131"/>
      <c r="I647" s="207"/>
      <c r="J647" s="207"/>
    </row>
    <row r="648" spans="1:10" ht="12.75">
      <c r="A648" s="147">
        <f t="shared" si="35"/>
        <v>569</v>
      </c>
      <c r="B648" s="4"/>
      <c r="C648" s="79" t="s">
        <v>695</v>
      </c>
      <c r="D648" s="25"/>
      <c r="E648" s="46"/>
      <c r="F648" s="131">
        <v>0</v>
      </c>
      <c r="G648" s="131">
        <v>0</v>
      </c>
      <c r="H648" s="131">
        <v>112500</v>
      </c>
      <c r="I648" s="207"/>
      <c r="J648" s="207">
        <f>H648/$H$1431</f>
        <v>0.0016795680737464282</v>
      </c>
    </row>
    <row r="649" spans="1:10" ht="15">
      <c r="A649" s="147">
        <f t="shared" si="35"/>
        <v>570</v>
      </c>
      <c r="B649" s="9">
        <v>801</v>
      </c>
      <c r="C649" s="78" t="s">
        <v>8</v>
      </c>
      <c r="D649" s="25"/>
      <c r="E649" s="50" t="e">
        <f>E650+E774+E809+E858+E940</f>
        <v>#REF!</v>
      </c>
      <c r="F649" s="144">
        <f>F650+F767+F774+F809+F858+F862+F940+F884</f>
        <v>20507832.83</v>
      </c>
      <c r="G649" s="144">
        <f>G650+G767+G774+G809+G858+G862+G940+G884</f>
        <v>18859066.55</v>
      </c>
      <c r="H649" s="144">
        <f>H650+H767+H774+H809+H858+H862+H940+H884</f>
        <v>11519358</v>
      </c>
      <c r="I649" s="207">
        <f>H649/G649</f>
        <v>0.6108127339950449</v>
      </c>
      <c r="J649" s="207">
        <f>H649/$H$1431</f>
        <v>0.17197818601649342</v>
      </c>
    </row>
    <row r="650" spans="1:10" ht="12.75">
      <c r="A650" s="147">
        <f t="shared" si="35"/>
        <v>571</v>
      </c>
      <c r="B650" s="11">
        <v>80101</v>
      </c>
      <c r="C650" s="68" t="s">
        <v>168</v>
      </c>
      <c r="D650" s="26"/>
      <c r="E650" s="44" t="e">
        <f>E651+#REF!+E659+E663+E667+E671+#REF!+E683+#REF!+E688+E693+E697+E705+E718+E726+E728+E732+E762</f>
        <v>#REF!</v>
      </c>
      <c r="F650" s="26">
        <f>+F651+F655+F659+F663+F667+F671+F675+F679+F683+F688+F693+F697+F701+F705+F709+F714+F718+F722+F727+F728+F732+F736+F737+F742+F747+F752+F757+F762</f>
        <v>3570205.92</v>
      </c>
      <c r="G650" s="26">
        <f>+G651+G655+G659+G663+G667+G671+G675+G679+G683+G688+G693+G697+G701+G705+G709+G714+G718+G722+G727+G728+G732+G736+G737+G742+G747+G752+G757+G762</f>
        <v>3484139.92</v>
      </c>
      <c r="H650" s="26">
        <f>+H651+H655+H659+H663+H667+H671+H675+H679+H683+H688+H693+H697+H701+H705+H709+H714+H718+H722+H727+H728+H732+H736+H737+H742+H747+H752+H757+H762</f>
        <v>4249435</v>
      </c>
      <c r="I650" s="207">
        <f>H650/G650</f>
        <v>1.2196510753219119</v>
      </c>
      <c r="J650" s="207">
        <f>H650/$H$1431</f>
        <v>0.06344191428853914</v>
      </c>
    </row>
    <row r="651" spans="1:10" ht="12.75">
      <c r="A651" s="147">
        <f t="shared" si="35"/>
        <v>572</v>
      </c>
      <c r="B651" s="4">
        <v>3020</v>
      </c>
      <c r="C651" s="79" t="s">
        <v>218</v>
      </c>
      <c r="D651" s="25"/>
      <c r="E651" s="47">
        <f>SUM(E653:E654)</f>
        <v>38200</v>
      </c>
      <c r="F651" s="23">
        <f>SUM(F653:F654)</f>
        <v>42200</v>
      </c>
      <c r="G651" s="23">
        <f>SUM(G653:G654)</f>
        <v>42200</v>
      </c>
      <c r="H651" s="23">
        <f>SUM(H653:H654)</f>
        <v>43100</v>
      </c>
      <c r="I651" s="207">
        <f aca="true" t="shared" si="38" ref="I651:I714">H651/G651</f>
        <v>1.0213270142180095</v>
      </c>
      <c r="J651" s="207">
        <f>H651/$H$1431</f>
        <v>0.0006434611909197428</v>
      </c>
    </row>
    <row r="652" spans="1:10" ht="12.75">
      <c r="A652" s="147">
        <f t="shared" si="35"/>
        <v>573</v>
      </c>
      <c r="B652" s="4"/>
      <c r="C652" s="79" t="s">
        <v>15</v>
      </c>
      <c r="D652" s="25"/>
      <c r="E652" s="46"/>
      <c r="F652" s="131"/>
      <c r="G652" s="131"/>
      <c r="H652" s="131"/>
      <c r="I652" s="207"/>
      <c r="J652" s="207"/>
    </row>
    <row r="653" spans="1:10" ht="12.75">
      <c r="A653" s="147">
        <f t="shared" si="35"/>
        <v>574</v>
      </c>
      <c r="B653" s="4"/>
      <c r="C653" s="79" t="s">
        <v>143</v>
      </c>
      <c r="D653" s="25"/>
      <c r="E653" s="46">
        <v>11100</v>
      </c>
      <c r="F653" s="131">
        <v>8000</v>
      </c>
      <c r="G653" s="131">
        <v>8000</v>
      </c>
      <c r="H653" s="131">
        <v>8000</v>
      </c>
      <c r="I653" s="207">
        <f t="shared" si="38"/>
        <v>1</v>
      </c>
      <c r="J653" s="207">
        <f>H653/$H$1431</f>
        <v>0.00011943595191085713</v>
      </c>
    </row>
    <row r="654" spans="1:10" ht="12.75">
      <c r="A654" s="147">
        <f t="shared" si="35"/>
        <v>575</v>
      </c>
      <c r="B654" s="4"/>
      <c r="C654" s="79" t="s">
        <v>144</v>
      </c>
      <c r="D654" s="25"/>
      <c r="E654" s="46">
        <v>27100</v>
      </c>
      <c r="F654" s="131">
        <v>34200</v>
      </c>
      <c r="G654" s="131">
        <v>34200</v>
      </c>
      <c r="H654" s="131">
        <v>35100</v>
      </c>
      <c r="I654" s="207">
        <f t="shared" si="38"/>
        <v>1.0263157894736843</v>
      </c>
      <c r="J654" s="207">
        <f>H654/$H$1431</f>
        <v>0.0005240252390088856</v>
      </c>
    </row>
    <row r="655" spans="1:10" ht="12.75">
      <c r="A655" s="147">
        <f t="shared" si="35"/>
        <v>576</v>
      </c>
      <c r="B655" s="4">
        <v>3240</v>
      </c>
      <c r="C655" s="79" t="s">
        <v>232</v>
      </c>
      <c r="D655" s="25"/>
      <c r="E655" s="46"/>
      <c r="F655" s="131">
        <f>SUM(F657:F658)</f>
        <v>17860</v>
      </c>
      <c r="G655" s="131">
        <f>SUM(G657:G658)</f>
        <v>17860</v>
      </c>
      <c r="H655" s="131">
        <f>SUM(H657:H658)</f>
        <v>15300</v>
      </c>
      <c r="I655" s="207">
        <f t="shared" si="38"/>
        <v>0.8566629339305711</v>
      </c>
      <c r="J655" s="207">
        <f>H655/$H$1431</f>
        <v>0.00022842125802951426</v>
      </c>
    </row>
    <row r="656" spans="1:10" ht="12.75">
      <c r="A656" s="147">
        <f t="shared" si="35"/>
        <v>577</v>
      </c>
      <c r="B656" s="4"/>
      <c r="C656" s="79" t="s">
        <v>15</v>
      </c>
      <c r="D656" s="25"/>
      <c r="E656" s="46"/>
      <c r="F656" s="131"/>
      <c r="G656" s="131"/>
      <c r="H656" s="131"/>
      <c r="I656" s="207"/>
      <c r="J656" s="207"/>
    </row>
    <row r="657" spans="1:10" ht="12.75">
      <c r="A657" s="147">
        <f t="shared" si="35"/>
        <v>578</v>
      </c>
      <c r="B657" s="4"/>
      <c r="C657" s="79" t="s">
        <v>143</v>
      </c>
      <c r="D657" s="25"/>
      <c r="E657" s="46"/>
      <c r="F657" s="131">
        <v>15360</v>
      </c>
      <c r="G657" s="131">
        <v>15360</v>
      </c>
      <c r="H657" s="131">
        <v>12800</v>
      </c>
      <c r="I657" s="207">
        <f t="shared" si="38"/>
        <v>0.8333333333333334</v>
      </c>
      <c r="J657" s="207">
        <f>H657/$H$1431</f>
        <v>0.0001910975230573714</v>
      </c>
    </row>
    <row r="658" spans="1:10" ht="12.75">
      <c r="A658" s="147">
        <f t="shared" si="35"/>
        <v>579</v>
      </c>
      <c r="B658" s="4"/>
      <c r="C658" s="79" t="s">
        <v>144</v>
      </c>
      <c r="D658" s="25"/>
      <c r="E658" s="46"/>
      <c r="F658" s="131">
        <v>2500</v>
      </c>
      <c r="G658" s="131">
        <v>2500</v>
      </c>
      <c r="H658" s="131">
        <v>2500</v>
      </c>
      <c r="I658" s="207">
        <f t="shared" si="38"/>
        <v>1</v>
      </c>
      <c r="J658" s="207">
        <f>H658/$H$1431</f>
        <v>3.7323734972142854E-05</v>
      </c>
    </row>
    <row r="659" spans="1:10" ht="12.75">
      <c r="A659" s="147">
        <f t="shared" si="35"/>
        <v>580</v>
      </c>
      <c r="B659" s="4">
        <v>4010</v>
      </c>
      <c r="C659" s="79" t="s">
        <v>27</v>
      </c>
      <c r="D659" s="25"/>
      <c r="E659" s="47">
        <f>SUM(E661:E662)</f>
        <v>1420200</v>
      </c>
      <c r="F659" s="23">
        <f>SUM(F661:F662)</f>
        <v>2084915</v>
      </c>
      <c r="G659" s="23">
        <f>SUM(G661:G662)</f>
        <v>2084915</v>
      </c>
      <c r="H659" s="23">
        <f>SUM(H661:H662)</f>
        <v>2206200</v>
      </c>
      <c r="I659" s="207">
        <f t="shared" si="38"/>
        <v>1.0581726353352534</v>
      </c>
      <c r="J659" s="207">
        <f>H659/$H$1431</f>
        <v>0.032937449638216626</v>
      </c>
    </row>
    <row r="660" spans="1:10" ht="12.75">
      <c r="A660" s="147">
        <f t="shared" si="35"/>
        <v>581</v>
      </c>
      <c r="B660" s="4"/>
      <c r="C660" s="79" t="s">
        <v>15</v>
      </c>
      <c r="D660" s="25"/>
      <c r="E660" s="46"/>
      <c r="F660" s="131"/>
      <c r="G660" s="131"/>
      <c r="H660" s="131"/>
      <c r="I660" s="207"/>
      <c r="J660" s="207"/>
    </row>
    <row r="661" spans="1:10" ht="12.75">
      <c r="A661" s="147">
        <f t="shared" si="35"/>
        <v>582</v>
      </c>
      <c r="B661" s="4"/>
      <c r="C661" s="79" t="s">
        <v>143</v>
      </c>
      <c r="D661" s="25"/>
      <c r="E661" s="46">
        <v>1122000</v>
      </c>
      <c r="F661" s="131">
        <v>1613200</v>
      </c>
      <c r="G661" s="131">
        <v>1613200</v>
      </c>
      <c r="H661" s="131">
        <v>1696000</v>
      </c>
      <c r="I661" s="207">
        <f t="shared" si="38"/>
        <v>1.051326555913712</v>
      </c>
      <c r="J661" s="207">
        <f>H661/$H$1431</f>
        <v>0.02532042180510171</v>
      </c>
    </row>
    <row r="662" spans="1:10" ht="12.75">
      <c r="A662" s="147">
        <f t="shared" si="35"/>
        <v>583</v>
      </c>
      <c r="B662" s="4"/>
      <c r="C662" s="79" t="s">
        <v>144</v>
      </c>
      <c r="D662" s="25"/>
      <c r="E662" s="46">
        <f>210000+1700+83500+2500+500</f>
        <v>298200</v>
      </c>
      <c r="F662" s="131">
        <v>471715</v>
      </c>
      <c r="G662" s="131">
        <v>471715</v>
      </c>
      <c r="H662" s="131">
        <v>510200</v>
      </c>
      <c r="I662" s="207">
        <f t="shared" si="38"/>
        <v>1.0815852792470029</v>
      </c>
      <c r="J662" s="207">
        <f>H662/$H$1431</f>
        <v>0.007617027833114913</v>
      </c>
    </row>
    <row r="663" spans="1:10" ht="12.75">
      <c r="A663" s="147">
        <f aca="true" t="shared" si="39" ref="A663:A727">A662+1</f>
        <v>584</v>
      </c>
      <c r="B663" s="4">
        <v>4040</v>
      </c>
      <c r="C663" s="79" t="s">
        <v>28</v>
      </c>
      <c r="D663" s="25"/>
      <c r="E663" s="47">
        <f>SUM(E665:E666)</f>
        <v>111700</v>
      </c>
      <c r="F663" s="23">
        <f>SUM(F665:F666)</f>
        <v>135830</v>
      </c>
      <c r="G663" s="23">
        <f>SUM(G665:G666)</f>
        <v>135830</v>
      </c>
      <c r="H663" s="23">
        <f>SUM(H665:H666)</f>
        <v>160500</v>
      </c>
      <c r="I663" s="207">
        <f t="shared" si="38"/>
        <v>1.1816240889346978</v>
      </c>
      <c r="J663" s="207">
        <f>H663/$H$1431</f>
        <v>0.002396183785211571</v>
      </c>
    </row>
    <row r="664" spans="1:10" ht="12.75">
      <c r="A664" s="147">
        <f t="shared" si="39"/>
        <v>585</v>
      </c>
      <c r="B664" s="4"/>
      <c r="C664" s="79" t="s">
        <v>15</v>
      </c>
      <c r="D664" s="25"/>
      <c r="E664" s="46"/>
      <c r="F664" s="131"/>
      <c r="G664" s="131"/>
      <c r="H664" s="131"/>
      <c r="I664" s="207"/>
      <c r="J664" s="207"/>
    </row>
    <row r="665" spans="1:10" ht="12.75">
      <c r="A665" s="147">
        <f t="shared" si="39"/>
        <v>586</v>
      </c>
      <c r="B665" s="4"/>
      <c r="C665" s="79" t="s">
        <v>143</v>
      </c>
      <c r="D665" s="25"/>
      <c r="E665" s="46">
        <v>82900</v>
      </c>
      <c r="F665" s="131">
        <v>101000</v>
      </c>
      <c r="G665" s="131">
        <v>101000</v>
      </c>
      <c r="H665" s="131">
        <v>122000</v>
      </c>
      <c r="I665" s="207">
        <f t="shared" si="38"/>
        <v>1.2079207920792079</v>
      </c>
      <c r="J665" s="207">
        <f>H665/$H$1431</f>
        <v>0.001821398266640571</v>
      </c>
    </row>
    <row r="666" spans="1:10" ht="12.75">
      <c r="A666" s="147">
        <f t="shared" si="39"/>
        <v>587</v>
      </c>
      <c r="B666" s="4"/>
      <c r="C666" s="79" t="s">
        <v>144</v>
      </c>
      <c r="D666" s="25"/>
      <c r="E666" s="46">
        <v>28800</v>
      </c>
      <c r="F666" s="131">
        <v>34830</v>
      </c>
      <c r="G666" s="131">
        <v>34830</v>
      </c>
      <c r="H666" s="131">
        <v>38500</v>
      </c>
      <c r="I666" s="207">
        <f t="shared" si="38"/>
        <v>1.1053689348262992</v>
      </c>
      <c r="J666" s="207">
        <f>H666/$H$1431</f>
        <v>0.0005747855185709999</v>
      </c>
    </row>
    <row r="667" spans="1:10" ht="12.75">
      <c r="A667" s="147">
        <f t="shared" si="39"/>
        <v>588</v>
      </c>
      <c r="B667" s="4">
        <v>4110</v>
      </c>
      <c r="C667" s="79" t="s">
        <v>32</v>
      </c>
      <c r="D667" s="25"/>
      <c r="E667" s="47">
        <f>SUM(E669:E670)</f>
        <v>275000</v>
      </c>
      <c r="F667" s="23">
        <f>SUM(F669:F670)</f>
        <v>369660</v>
      </c>
      <c r="G667" s="23">
        <f>SUM(G669:G670)</f>
        <v>369660</v>
      </c>
      <c r="H667" s="23">
        <f>SUM(H669:H670)</f>
        <v>359610</v>
      </c>
      <c r="I667" s="207">
        <f t="shared" si="38"/>
        <v>0.9728128550559973</v>
      </c>
      <c r="J667" s="207">
        <f>H667/$H$1431</f>
        <v>0.005368795333332916</v>
      </c>
    </row>
    <row r="668" spans="1:10" ht="12.75">
      <c r="A668" s="147">
        <f t="shared" si="39"/>
        <v>589</v>
      </c>
      <c r="B668" s="4"/>
      <c r="C668" s="79" t="s">
        <v>15</v>
      </c>
      <c r="D668" s="25"/>
      <c r="E668" s="46"/>
      <c r="F668" s="131"/>
      <c r="G668" s="131"/>
      <c r="H668" s="131"/>
      <c r="I668" s="207"/>
      <c r="J668" s="207"/>
    </row>
    <row r="669" spans="1:10" ht="12.75">
      <c r="A669" s="147">
        <f t="shared" si="39"/>
        <v>590</v>
      </c>
      <c r="B669" s="4"/>
      <c r="C669" s="79" t="s">
        <v>143</v>
      </c>
      <c r="D669" s="25"/>
      <c r="E669" s="46">
        <v>212400</v>
      </c>
      <c r="F669" s="131">
        <v>286700</v>
      </c>
      <c r="G669" s="131">
        <v>286700</v>
      </c>
      <c r="H669" s="131">
        <v>272500</v>
      </c>
      <c r="I669" s="207">
        <f t="shared" si="38"/>
        <v>0.9504708754795954</v>
      </c>
      <c r="J669" s="207">
        <f>H669/$H$1431</f>
        <v>0.004068287111963571</v>
      </c>
    </row>
    <row r="670" spans="1:10" ht="12.75">
      <c r="A670" s="147">
        <f t="shared" si="39"/>
        <v>591</v>
      </c>
      <c r="B670" s="4"/>
      <c r="C670" s="79" t="s">
        <v>144</v>
      </c>
      <c r="D670" s="25"/>
      <c r="E670" s="46">
        <v>62600</v>
      </c>
      <c r="F670" s="131">
        <v>82960</v>
      </c>
      <c r="G670" s="131">
        <v>82960</v>
      </c>
      <c r="H670" s="131">
        <v>87110</v>
      </c>
      <c r="I670" s="207">
        <f t="shared" si="38"/>
        <v>1.0500241080038573</v>
      </c>
      <c r="J670" s="207">
        <f>H670/$H$1431</f>
        <v>0.0013005082213693455</v>
      </c>
    </row>
    <row r="671" spans="1:10" ht="12.75">
      <c r="A671" s="147">
        <f t="shared" si="39"/>
        <v>592</v>
      </c>
      <c r="B671" s="4">
        <v>4120</v>
      </c>
      <c r="C671" s="79" t="s">
        <v>33</v>
      </c>
      <c r="D671" s="25"/>
      <c r="E671" s="47">
        <f>SUM(E673:E674)</f>
        <v>37700</v>
      </c>
      <c r="F671" s="23">
        <f>SUM(F673:F674)</f>
        <v>54691</v>
      </c>
      <c r="G671" s="23">
        <f>SUM(G673:G674)</f>
        <v>54691</v>
      </c>
      <c r="H671" s="23">
        <f>SUM(H673:H674)</f>
        <v>57800</v>
      </c>
      <c r="I671" s="207">
        <f t="shared" si="38"/>
        <v>1.0568466475288438</v>
      </c>
      <c r="J671" s="207">
        <f>H671/$H$1431</f>
        <v>0.0008629247525559427</v>
      </c>
    </row>
    <row r="672" spans="1:10" ht="12.75">
      <c r="A672" s="147">
        <f t="shared" si="39"/>
        <v>593</v>
      </c>
      <c r="B672" s="4"/>
      <c r="C672" s="79" t="s">
        <v>15</v>
      </c>
      <c r="D672" s="25"/>
      <c r="E672" s="46"/>
      <c r="F672" s="131"/>
      <c r="G672" s="131"/>
      <c r="H672" s="131"/>
      <c r="I672" s="207"/>
      <c r="J672" s="207"/>
    </row>
    <row r="673" spans="1:10" ht="12.75">
      <c r="A673" s="147">
        <f t="shared" si="39"/>
        <v>594</v>
      </c>
      <c r="B673" s="4"/>
      <c r="C673" s="79" t="s">
        <v>143</v>
      </c>
      <c r="D673" s="25"/>
      <c r="E673" s="46">
        <v>29100</v>
      </c>
      <c r="F673" s="131">
        <v>41500</v>
      </c>
      <c r="G673" s="131">
        <v>41500</v>
      </c>
      <c r="H673" s="131">
        <v>44000</v>
      </c>
      <c r="I673" s="207">
        <f t="shared" si="38"/>
        <v>1.0602409638554218</v>
      </c>
      <c r="J673" s="207">
        <f>H673/$H$1431</f>
        <v>0.0006568977355097142</v>
      </c>
    </row>
    <row r="674" spans="1:10" ht="12.75">
      <c r="A674" s="147">
        <f t="shared" si="39"/>
        <v>595</v>
      </c>
      <c r="B674" s="4"/>
      <c r="C674" s="79" t="s">
        <v>144</v>
      </c>
      <c r="D674" s="25"/>
      <c r="E674" s="46">
        <v>8600</v>
      </c>
      <c r="F674" s="131">
        <v>13191</v>
      </c>
      <c r="G674" s="131">
        <v>13191</v>
      </c>
      <c r="H674" s="131">
        <v>13800</v>
      </c>
      <c r="I674" s="207">
        <f t="shared" si="38"/>
        <v>1.046167841710257</v>
      </c>
      <c r="J674" s="207">
        <f>H674/$H$1431</f>
        <v>0.00020602701704622854</v>
      </c>
    </row>
    <row r="675" spans="1:10" ht="12.75">
      <c r="A675" s="147">
        <f t="shared" si="39"/>
        <v>596</v>
      </c>
      <c r="B675" s="4">
        <v>4140</v>
      </c>
      <c r="C675" s="79" t="s">
        <v>155</v>
      </c>
      <c r="D675" s="25"/>
      <c r="E675" s="46"/>
      <c r="F675" s="131">
        <f>SUM(F677:F678)</f>
        <v>11600</v>
      </c>
      <c r="G675" s="131">
        <f>SUM(G677:G678)</f>
        <v>11600</v>
      </c>
      <c r="H675" s="131">
        <f>SUM(H677:H678)</f>
        <v>13245</v>
      </c>
      <c r="I675" s="207">
        <f t="shared" si="38"/>
        <v>1.1418103448275863</v>
      </c>
      <c r="J675" s="207">
        <f>H675/$H$1431</f>
        <v>0.00019774114788241283</v>
      </c>
    </row>
    <row r="676" spans="1:10" ht="12.75">
      <c r="A676" s="147">
        <f t="shared" si="39"/>
        <v>597</v>
      </c>
      <c r="B676" s="4"/>
      <c r="C676" s="79" t="s">
        <v>15</v>
      </c>
      <c r="D676" s="25"/>
      <c r="E676" s="46"/>
      <c r="F676" s="131"/>
      <c r="G676" s="131"/>
      <c r="H676" s="131"/>
      <c r="I676" s="207"/>
      <c r="J676" s="207"/>
    </row>
    <row r="677" spans="1:10" ht="12.75">
      <c r="A677" s="147">
        <f t="shared" si="39"/>
        <v>598</v>
      </c>
      <c r="B677" s="4"/>
      <c r="C677" s="79" t="s">
        <v>143</v>
      </c>
      <c r="D677" s="25"/>
      <c r="E677" s="46"/>
      <c r="F677" s="131">
        <v>11600</v>
      </c>
      <c r="G677" s="131">
        <v>11600</v>
      </c>
      <c r="H677" s="131">
        <v>13245</v>
      </c>
      <c r="I677" s="207">
        <f t="shared" si="38"/>
        <v>1.1418103448275863</v>
      </c>
      <c r="J677" s="207">
        <f>H677/$H$1431</f>
        <v>0.00019774114788241283</v>
      </c>
    </row>
    <row r="678" spans="1:10" ht="12.75">
      <c r="A678" s="147">
        <f t="shared" si="39"/>
        <v>599</v>
      </c>
      <c r="B678" s="4"/>
      <c r="C678" s="79" t="s">
        <v>144</v>
      </c>
      <c r="D678" s="25"/>
      <c r="E678" s="46"/>
      <c r="F678" s="131">
        <v>0</v>
      </c>
      <c r="G678" s="131">
        <v>0</v>
      </c>
      <c r="H678" s="131">
        <v>0</v>
      </c>
      <c r="I678" s="207"/>
      <c r="J678" s="207">
        <f>H678/$H$1431</f>
        <v>0</v>
      </c>
    </row>
    <row r="679" spans="1:10" ht="12.75">
      <c r="A679" s="147">
        <f t="shared" si="39"/>
        <v>600</v>
      </c>
      <c r="B679" s="4">
        <v>4170</v>
      </c>
      <c r="C679" s="79" t="s">
        <v>212</v>
      </c>
      <c r="D679" s="25"/>
      <c r="E679" s="46"/>
      <c r="F679" s="131">
        <f>SUM(F681:F682)</f>
        <v>41500</v>
      </c>
      <c r="G679" s="131">
        <f>SUM(G681:G682)</f>
        <v>41500</v>
      </c>
      <c r="H679" s="131">
        <f>SUM(H681:H682)</f>
        <v>38500</v>
      </c>
      <c r="I679" s="207">
        <f t="shared" si="38"/>
        <v>0.927710843373494</v>
      </c>
      <c r="J679" s="207">
        <f>H679/$H$1431</f>
        <v>0.0005747855185709999</v>
      </c>
    </row>
    <row r="680" spans="1:10" ht="12.75">
      <c r="A680" s="147">
        <f t="shared" si="39"/>
        <v>601</v>
      </c>
      <c r="B680" s="4"/>
      <c r="C680" s="79" t="s">
        <v>15</v>
      </c>
      <c r="D680" s="25"/>
      <c r="E680" s="46"/>
      <c r="F680" s="131"/>
      <c r="G680" s="131"/>
      <c r="H680" s="131"/>
      <c r="I680" s="207"/>
      <c r="J680" s="207"/>
    </row>
    <row r="681" spans="1:10" ht="12.75">
      <c r="A681" s="147">
        <f t="shared" si="39"/>
        <v>602</v>
      </c>
      <c r="B681" s="4"/>
      <c r="C681" s="79" t="s">
        <v>143</v>
      </c>
      <c r="D681" s="25"/>
      <c r="E681" s="46">
        <v>2500</v>
      </c>
      <c r="F681" s="131">
        <v>27500</v>
      </c>
      <c r="G681" s="131">
        <v>27500</v>
      </c>
      <c r="H681" s="131">
        <v>24000</v>
      </c>
      <c r="I681" s="207">
        <f t="shared" si="38"/>
        <v>0.8727272727272727</v>
      </c>
      <c r="J681" s="207">
        <f>H681/$H$1431</f>
        <v>0.0003583078557325714</v>
      </c>
    </row>
    <row r="682" spans="1:10" ht="12.75">
      <c r="A682" s="147">
        <f t="shared" si="39"/>
        <v>603</v>
      </c>
      <c r="B682" s="4"/>
      <c r="C682" s="79" t="s">
        <v>144</v>
      </c>
      <c r="D682" s="25"/>
      <c r="E682" s="46">
        <v>0</v>
      </c>
      <c r="F682" s="131">
        <v>14000</v>
      </c>
      <c r="G682" s="131">
        <v>14000</v>
      </c>
      <c r="H682" s="131">
        <v>14500</v>
      </c>
      <c r="I682" s="207">
        <f t="shared" si="38"/>
        <v>1.0357142857142858</v>
      </c>
      <c r="J682" s="207">
        <f>H682/$H$1431</f>
        <v>0.00021647766283842853</v>
      </c>
    </row>
    <row r="683" spans="1:10" ht="12.75">
      <c r="A683" s="147">
        <f t="shared" si="39"/>
        <v>604</v>
      </c>
      <c r="B683" s="4">
        <v>4210</v>
      </c>
      <c r="C683" s="79" t="s">
        <v>132</v>
      </c>
      <c r="D683" s="25"/>
      <c r="E683" s="47">
        <f>SUM(E685:E686)</f>
        <v>156900</v>
      </c>
      <c r="F683" s="23">
        <f>SUM(F685:F686)</f>
        <v>154386.78999999998</v>
      </c>
      <c r="G683" s="23">
        <f>SUM(G685:G686)</f>
        <v>154386.78999999998</v>
      </c>
      <c r="H683" s="23">
        <f>SUM(H685:H686)</f>
        <v>185800</v>
      </c>
      <c r="I683" s="207">
        <f t="shared" si="38"/>
        <v>1.203470840996176</v>
      </c>
      <c r="J683" s="207">
        <f>H683/$H$1431</f>
        <v>0.002773899983129657</v>
      </c>
    </row>
    <row r="684" spans="1:10" ht="12.75">
      <c r="A684" s="147">
        <f t="shared" si="39"/>
        <v>605</v>
      </c>
      <c r="B684" s="4"/>
      <c r="C684" s="79" t="s">
        <v>15</v>
      </c>
      <c r="D684" s="25"/>
      <c r="E684" s="46"/>
      <c r="F684" s="131"/>
      <c r="G684" s="131"/>
      <c r="H684" s="131"/>
      <c r="I684" s="207"/>
      <c r="J684" s="207"/>
    </row>
    <row r="685" spans="1:10" ht="12.75">
      <c r="A685" s="147">
        <f t="shared" si="39"/>
        <v>606</v>
      </c>
      <c r="B685" s="4"/>
      <c r="C685" s="79" t="s">
        <v>143</v>
      </c>
      <c r="D685" s="25"/>
      <c r="E685" s="46">
        <f>131500-19100</f>
        <v>112400</v>
      </c>
      <c r="F685" s="131">
        <v>107754.79</v>
      </c>
      <c r="G685" s="131">
        <v>107754.79</v>
      </c>
      <c r="H685" s="131">
        <v>130000</v>
      </c>
      <c r="I685" s="207">
        <f t="shared" si="38"/>
        <v>1.2064428875969226</v>
      </c>
      <c r="J685" s="207">
        <f>H685/$H$1431</f>
        <v>0.0019408342185514283</v>
      </c>
    </row>
    <row r="686" spans="1:10" ht="12.75">
      <c r="A686" s="147">
        <f t="shared" si="39"/>
        <v>607</v>
      </c>
      <c r="B686" s="4"/>
      <c r="C686" s="79" t="s">
        <v>144</v>
      </c>
      <c r="D686" s="25"/>
      <c r="E686" s="46">
        <v>44500</v>
      </c>
      <c r="F686" s="131">
        <v>46632</v>
      </c>
      <c r="G686" s="131">
        <v>46632</v>
      </c>
      <c r="H686" s="131">
        <v>55800</v>
      </c>
      <c r="I686" s="207">
        <f t="shared" si="38"/>
        <v>1.1966031909418424</v>
      </c>
      <c r="J686" s="207">
        <f>H686/$H$1431</f>
        <v>0.0008330657645782284</v>
      </c>
    </row>
    <row r="687" spans="1:10" ht="12.75">
      <c r="A687" s="147">
        <f t="shared" si="39"/>
        <v>608</v>
      </c>
      <c r="B687" s="4">
        <v>4240</v>
      </c>
      <c r="C687" s="79" t="s">
        <v>138</v>
      </c>
      <c r="D687" s="25"/>
      <c r="E687" s="47"/>
      <c r="F687" s="140"/>
      <c r="G687" s="140"/>
      <c r="H687" s="140"/>
      <c r="I687" s="207"/>
      <c r="J687" s="207"/>
    </row>
    <row r="688" spans="1:10" ht="12.75">
      <c r="A688" s="147">
        <f t="shared" si="39"/>
        <v>609</v>
      </c>
      <c r="B688" s="4"/>
      <c r="C688" s="79" t="s">
        <v>139</v>
      </c>
      <c r="D688" s="25"/>
      <c r="E688" s="47">
        <f>SUM(E690:E691)</f>
        <v>21000</v>
      </c>
      <c r="F688" s="23">
        <f>SUM(F690:F691)</f>
        <v>29000</v>
      </c>
      <c r="G688" s="23">
        <f>SUM(G690:G691)</f>
        <v>29000</v>
      </c>
      <c r="H688" s="23">
        <f>SUM(H690:H691)</f>
        <v>28000</v>
      </c>
      <c r="I688" s="207">
        <f t="shared" si="38"/>
        <v>0.9655172413793104</v>
      </c>
      <c r="J688" s="207">
        <f>H688/$H$1431</f>
        <v>0.0004180258316879999</v>
      </c>
    </row>
    <row r="689" spans="1:10" ht="12.75">
      <c r="A689" s="147">
        <f t="shared" si="39"/>
        <v>610</v>
      </c>
      <c r="B689" s="4"/>
      <c r="C689" s="79" t="s">
        <v>15</v>
      </c>
      <c r="D689" s="25"/>
      <c r="E689" s="46"/>
      <c r="F689" s="131"/>
      <c r="G689" s="131"/>
      <c r="H689" s="131"/>
      <c r="I689" s="207"/>
      <c r="J689" s="207"/>
    </row>
    <row r="690" spans="1:10" ht="12.75">
      <c r="A690" s="147">
        <f t="shared" si="39"/>
        <v>611</v>
      </c>
      <c r="B690" s="4"/>
      <c r="C690" s="79" t="s">
        <v>143</v>
      </c>
      <c r="D690" s="25"/>
      <c r="E690" s="46">
        <f>84000-20000-20000-30000</f>
        <v>14000</v>
      </c>
      <c r="F690" s="131">
        <v>23000</v>
      </c>
      <c r="G690" s="131">
        <v>23000</v>
      </c>
      <c r="H690" s="131">
        <v>24000</v>
      </c>
      <c r="I690" s="207">
        <f t="shared" si="38"/>
        <v>1.0434782608695652</v>
      </c>
      <c r="J690" s="207">
        <f>H690/$H$1431</f>
        <v>0.0003583078557325714</v>
      </c>
    </row>
    <row r="691" spans="1:10" ht="12.75">
      <c r="A691" s="147">
        <f t="shared" si="39"/>
        <v>612</v>
      </c>
      <c r="B691" s="4"/>
      <c r="C691" s="79" t="s">
        <v>144</v>
      </c>
      <c r="D691" s="25"/>
      <c r="E691" s="46">
        <v>7000</v>
      </c>
      <c r="F691" s="131">
        <v>6000</v>
      </c>
      <c r="G691" s="131">
        <v>6000</v>
      </c>
      <c r="H691" s="131">
        <v>4000</v>
      </c>
      <c r="I691" s="207">
        <f t="shared" si="38"/>
        <v>0.6666666666666666</v>
      </c>
      <c r="J691" s="207">
        <f>H691/$H$1431</f>
        <v>5.9717975955428565E-05</v>
      </c>
    </row>
    <row r="692" spans="1:10" ht="12.75">
      <c r="A692" s="147"/>
      <c r="B692" s="4"/>
      <c r="C692" s="79"/>
      <c r="D692" s="25"/>
      <c r="E692" s="46"/>
      <c r="F692" s="131"/>
      <c r="G692" s="131"/>
      <c r="H692" s="131"/>
      <c r="I692" s="207"/>
      <c r="J692" s="207"/>
    </row>
    <row r="693" spans="1:10" ht="12.75">
      <c r="A693" s="147">
        <f>A691+1</f>
        <v>613</v>
      </c>
      <c r="B693" s="4">
        <v>4260</v>
      </c>
      <c r="C693" s="79" t="s">
        <v>134</v>
      </c>
      <c r="D693" s="25"/>
      <c r="E693" s="47">
        <f>SUM(E695:E696)</f>
        <v>32600</v>
      </c>
      <c r="F693" s="23">
        <f>SUM(F695:F696)</f>
        <v>145400</v>
      </c>
      <c r="G693" s="23">
        <f>SUM(G695:G696)</f>
        <v>145400</v>
      </c>
      <c r="H693" s="23">
        <f>SUM(H695:H696)</f>
        <v>154900</v>
      </c>
      <c r="I693" s="207">
        <f t="shared" si="38"/>
        <v>1.065337001375516</v>
      </c>
      <c r="J693" s="207">
        <f>H693/$H$1431</f>
        <v>0.002312578618873971</v>
      </c>
    </row>
    <row r="694" spans="1:10" ht="12.75">
      <c r="A694" s="147">
        <f t="shared" si="39"/>
        <v>614</v>
      </c>
      <c r="B694" s="4"/>
      <c r="C694" s="79" t="s">
        <v>15</v>
      </c>
      <c r="D694" s="25"/>
      <c r="E694" s="46"/>
      <c r="F694" s="131"/>
      <c r="G694" s="131"/>
      <c r="H694" s="131"/>
      <c r="I694" s="207"/>
      <c r="J694" s="207"/>
    </row>
    <row r="695" spans="1:10" ht="12.75">
      <c r="A695" s="147">
        <f t="shared" si="39"/>
        <v>615</v>
      </c>
      <c r="B695" s="4"/>
      <c r="C695" s="79" t="s">
        <v>143</v>
      </c>
      <c r="D695" s="25"/>
      <c r="E695" s="46">
        <v>22500</v>
      </c>
      <c r="F695" s="131">
        <v>133000</v>
      </c>
      <c r="G695" s="131">
        <v>133000</v>
      </c>
      <c r="H695" s="131">
        <v>142000</v>
      </c>
      <c r="I695" s="207">
        <f t="shared" si="38"/>
        <v>1.0676691729323309</v>
      </c>
      <c r="J695" s="207">
        <f>H695/$H$1431</f>
        <v>0.002119988146417714</v>
      </c>
    </row>
    <row r="696" spans="1:10" ht="13.5" customHeight="1">
      <c r="A696" s="147">
        <f t="shared" si="39"/>
        <v>616</v>
      </c>
      <c r="B696" s="4"/>
      <c r="C696" s="79" t="s">
        <v>144</v>
      </c>
      <c r="D696" s="25"/>
      <c r="E696" s="46">
        <v>10100</v>
      </c>
      <c r="F696" s="131">
        <v>12400</v>
      </c>
      <c r="G696" s="131">
        <v>12400</v>
      </c>
      <c r="H696" s="131">
        <v>12900</v>
      </c>
      <c r="I696" s="207">
        <f t="shared" si="38"/>
        <v>1.0403225806451613</v>
      </c>
      <c r="J696" s="207">
        <f>H696/$H$1431</f>
        <v>0.0001925904724562571</v>
      </c>
    </row>
    <row r="697" spans="1:10" ht="12.75">
      <c r="A697" s="147">
        <f t="shared" si="39"/>
        <v>617</v>
      </c>
      <c r="B697" s="4">
        <v>4270</v>
      </c>
      <c r="C697" s="79" t="s">
        <v>131</v>
      </c>
      <c r="D697" s="25"/>
      <c r="E697" s="45">
        <f>SUM(E699:E700)</f>
        <v>40200</v>
      </c>
      <c r="F697" s="28">
        <f>SUM(F699:F700)</f>
        <v>29395</v>
      </c>
      <c r="G697" s="28">
        <f>SUM(G699:G700)</f>
        <v>29395</v>
      </c>
      <c r="H697" s="28">
        <f>SUM(H699:H700)</f>
        <v>18000</v>
      </c>
      <c r="I697" s="207">
        <f t="shared" si="38"/>
        <v>0.6123490389522027</v>
      </c>
      <c r="J697" s="207">
        <f>H697/$H$1431</f>
        <v>0.00026873089179942853</v>
      </c>
    </row>
    <row r="698" spans="1:10" ht="12.75">
      <c r="A698" s="147">
        <f t="shared" si="39"/>
        <v>618</v>
      </c>
      <c r="B698" s="4"/>
      <c r="C698" s="79" t="s">
        <v>15</v>
      </c>
      <c r="D698" s="25"/>
      <c r="E698" s="46"/>
      <c r="F698" s="131"/>
      <c r="G698" s="131"/>
      <c r="H698" s="131"/>
      <c r="I698" s="207"/>
      <c r="J698" s="207"/>
    </row>
    <row r="699" spans="1:10" ht="12.75">
      <c r="A699" s="147">
        <f t="shared" si="39"/>
        <v>619</v>
      </c>
      <c r="B699" s="4"/>
      <c r="C699" s="79" t="s">
        <v>143</v>
      </c>
      <c r="D699" s="25"/>
      <c r="E699" s="46">
        <v>24200</v>
      </c>
      <c r="F699" s="131">
        <v>15000</v>
      </c>
      <c r="G699" s="131">
        <v>15000</v>
      </c>
      <c r="H699" s="131">
        <v>15000</v>
      </c>
      <c r="I699" s="207">
        <f t="shared" si="38"/>
        <v>1</v>
      </c>
      <c r="J699" s="207">
        <f>H699/$H$1431</f>
        <v>0.0002239424098328571</v>
      </c>
    </row>
    <row r="700" spans="1:10" ht="12.75">
      <c r="A700" s="147">
        <f t="shared" si="39"/>
        <v>620</v>
      </c>
      <c r="B700" s="4"/>
      <c r="C700" s="79" t="s">
        <v>144</v>
      </c>
      <c r="D700" s="25"/>
      <c r="E700" s="46">
        <v>16000</v>
      </c>
      <c r="F700" s="131">
        <v>14395</v>
      </c>
      <c r="G700" s="131">
        <v>14395</v>
      </c>
      <c r="H700" s="131">
        <v>3000</v>
      </c>
      <c r="I700" s="207">
        <f t="shared" si="38"/>
        <v>0.2084056964223689</v>
      </c>
      <c r="J700" s="207">
        <f>H700/$H$1431</f>
        <v>4.478848196657142E-05</v>
      </c>
    </row>
    <row r="701" spans="1:10" ht="12.75">
      <c r="A701" s="147">
        <f t="shared" si="39"/>
        <v>621</v>
      </c>
      <c r="B701" s="4">
        <v>4280</v>
      </c>
      <c r="C701" s="79" t="s">
        <v>278</v>
      </c>
      <c r="D701" s="25"/>
      <c r="E701" s="46"/>
      <c r="F701" s="131">
        <f>SUM(F703:F704)</f>
        <v>3850</v>
      </c>
      <c r="G701" s="131">
        <f>SUM(G703:G704)</f>
        <v>3850</v>
      </c>
      <c r="H701" s="131">
        <f>SUM(H703:H704)</f>
        <v>3850</v>
      </c>
      <c r="I701" s="207">
        <f t="shared" si="38"/>
        <v>1</v>
      </c>
      <c r="J701" s="207">
        <f>H701/$H$1431</f>
        <v>5.747855185709999E-05</v>
      </c>
    </row>
    <row r="702" spans="1:10" ht="12.75">
      <c r="A702" s="147">
        <f t="shared" si="39"/>
        <v>622</v>
      </c>
      <c r="B702" s="4"/>
      <c r="C702" s="79" t="s">
        <v>15</v>
      </c>
      <c r="D702" s="25"/>
      <c r="E702" s="46"/>
      <c r="F702" s="131"/>
      <c r="G702" s="131"/>
      <c r="H702" s="131"/>
      <c r="I702" s="207"/>
      <c r="J702" s="207"/>
    </row>
    <row r="703" spans="1:10" ht="12.75">
      <c r="A703" s="147">
        <f t="shared" si="39"/>
        <v>623</v>
      </c>
      <c r="B703" s="4"/>
      <c r="C703" s="79" t="s">
        <v>143</v>
      </c>
      <c r="D703" s="25"/>
      <c r="E703" s="46"/>
      <c r="F703" s="131">
        <v>2000</v>
      </c>
      <c r="G703" s="131">
        <v>2000</v>
      </c>
      <c r="H703" s="131">
        <v>2000</v>
      </c>
      <c r="I703" s="207">
        <f t="shared" si="38"/>
        <v>1</v>
      </c>
      <c r="J703" s="207">
        <f>H703/$H$1431</f>
        <v>2.9858987977714282E-05</v>
      </c>
    </row>
    <row r="704" spans="1:10" ht="12.75">
      <c r="A704" s="147">
        <f t="shared" si="39"/>
        <v>624</v>
      </c>
      <c r="B704" s="4"/>
      <c r="C704" s="79" t="s">
        <v>144</v>
      </c>
      <c r="D704" s="25"/>
      <c r="E704" s="46"/>
      <c r="F704" s="131">
        <v>1850</v>
      </c>
      <c r="G704" s="131">
        <v>1850</v>
      </c>
      <c r="H704" s="131">
        <v>1850</v>
      </c>
      <c r="I704" s="207">
        <f t="shared" si="38"/>
        <v>1</v>
      </c>
      <c r="J704" s="207">
        <f>H704/$H$1431</f>
        <v>2.761956387938571E-05</v>
      </c>
    </row>
    <row r="705" spans="1:10" ht="12.75">
      <c r="A705" s="147">
        <f t="shared" si="39"/>
        <v>625</v>
      </c>
      <c r="B705" s="4">
        <v>4300</v>
      </c>
      <c r="C705" s="79" t="s">
        <v>130</v>
      </c>
      <c r="D705" s="25"/>
      <c r="E705" s="45">
        <f>SUM(E707:E708)</f>
        <v>100700</v>
      </c>
      <c r="F705" s="28">
        <f>SUM(F707:F708)</f>
        <v>151200</v>
      </c>
      <c r="G705" s="28">
        <f>SUM(G707:G708)</f>
        <v>151200</v>
      </c>
      <c r="H705" s="28">
        <f>SUM(H707:H708)</f>
        <v>153200</v>
      </c>
      <c r="I705" s="207">
        <f t="shared" si="38"/>
        <v>1.0132275132275133</v>
      </c>
      <c r="J705" s="207">
        <f>H705/$H$1431</f>
        <v>0.002287198479092914</v>
      </c>
    </row>
    <row r="706" spans="1:10" ht="12.75">
      <c r="A706" s="147">
        <f t="shared" si="39"/>
        <v>626</v>
      </c>
      <c r="B706" s="4"/>
      <c r="C706" s="79" t="s">
        <v>15</v>
      </c>
      <c r="D706" s="25"/>
      <c r="E706" s="46"/>
      <c r="F706" s="131"/>
      <c r="G706" s="131"/>
      <c r="H706" s="131"/>
      <c r="I706" s="207"/>
      <c r="J706" s="207"/>
    </row>
    <row r="707" spans="1:10" ht="12.75">
      <c r="A707" s="147">
        <f t="shared" si="39"/>
        <v>627</v>
      </c>
      <c r="B707" s="4"/>
      <c r="C707" s="79" t="s">
        <v>143</v>
      </c>
      <c r="D707" s="25"/>
      <c r="E707" s="46">
        <f>69000</f>
        <v>69000</v>
      </c>
      <c r="F707" s="131">
        <v>123100</v>
      </c>
      <c r="G707" s="131">
        <v>123100</v>
      </c>
      <c r="H707" s="131">
        <v>121000</v>
      </c>
      <c r="I707" s="207">
        <f t="shared" si="38"/>
        <v>0.9829406986190089</v>
      </c>
      <c r="J707" s="207">
        <f>H707/$H$1431</f>
        <v>0.001806468772651714</v>
      </c>
    </row>
    <row r="708" spans="1:10" ht="12.75">
      <c r="A708" s="147">
        <f t="shared" si="39"/>
        <v>628</v>
      </c>
      <c r="B708" s="4"/>
      <c r="C708" s="79" t="s">
        <v>144</v>
      </c>
      <c r="D708" s="25"/>
      <c r="E708" s="46">
        <v>31700</v>
      </c>
      <c r="F708" s="131">
        <v>28100</v>
      </c>
      <c r="G708" s="131">
        <v>28100</v>
      </c>
      <c r="H708" s="131">
        <v>32200</v>
      </c>
      <c r="I708" s="207">
        <f t="shared" si="38"/>
        <v>1.1459074733096086</v>
      </c>
      <c r="J708" s="207">
        <f>H708/$H$1431</f>
        <v>0.0004807297064411999</v>
      </c>
    </row>
    <row r="709" spans="1:10" ht="12.75">
      <c r="A709" s="147">
        <f t="shared" si="39"/>
        <v>629</v>
      </c>
      <c r="B709" s="4">
        <v>4350</v>
      </c>
      <c r="C709" s="79" t="s">
        <v>288</v>
      </c>
      <c r="D709" s="25"/>
      <c r="E709" s="46"/>
      <c r="F709" s="131">
        <f>SUM(F711:F712)</f>
        <v>1000</v>
      </c>
      <c r="G709" s="131">
        <f>SUM(G711:G712)</f>
        <v>1000</v>
      </c>
      <c r="H709" s="131">
        <f>SUM(H711:H712)</f>
        <v>1000</v>
      </c>
      <c r="I709" s="207">
        <f t="shared" si="38"/>
        <v>1</v>
      </c>
      <c r="J709" s="207">
        <f>H709/$H$1431</f>
        <v>1.4929493988857141E-05</v>
      </c>
    </row>
    <row r="710" spans="1:10" ht="12.75">
      <c r="A710" s="147">
        <f t="shared" si="39"/>
        <v>630</v>
      </c>
      <c r="B710" s="4"/>
      <c r="C710" s="79" t="s">
        <v>15</v>
      </c>
      <c r="D710" s="25"/>
      <c r="E710" s="46"/>
      <c r="F710" s="131"/>
      <c r="G710" s="131"/>
      <c r="H710" s="131"/>
      <c r="I710" s="207"/>
      <c r="J710" s="207"/>
    </row>
    <row r="711" spans="1:10" ht="12.75">
      <c r="A711" s="147">
        <f t="shared" si="39"/>
        <v>631</v>
      </c>
      <c r="B711" s="4"/>
      <c r="C711" s="79" t="s">
        <v>143</v>
      </c>
      <c r="D711" s="25"/>
      <c r="E711" s="46"/>
      <c r="F711" s="131">
        <v>0</v>
      </c>
      <c r="G711" s="131">
        <v>0</v>
      </c>
      <c r="H711" s="131">
        <v>0</v>
      </c>
      <c r="I711" s="207"/>
      <c r="J711" s="207"/>
    </row>
    <row r="712" spans="1:10" ht="12.75">
      <c r="A712" s="147">
        <f t="shared" si="39"/>
        <v>632</v>
      </c>
      <c r="B712" s="4"/>
      <c r="C712" s="79" t="s">
        <v>144</v>
      </c>
      <c r="D712" s="25"/>
      <c r="E712" s="46"/>
      <c r="F712" s="131">
        <v>1000</v>
      </c>
      <c r="G712" s="131">
        <v>1000</v>
      </c>
      <c r="H712" s="131">
        <v>1000</v>
      </c>
      <c r="I712" s="207">
        <f t="shared" si="38"/>
        <v>1</v>
      </c>
      <c r="J712" s="207">
        <f>H712/$H$1431</f>
        <v>1.4929493988857141E-05</v>
      </c>
    </row>
    <row r="713" spans="1:10" ht="12.75">
      <c r="A713" s="147">
        <f t="shared" si="39"/>
        <v>633</v>
      </c>
      <c r="B713" s="4">
        <v>4370</v>
      </c>
      <c r="C713" s="79" t="s">
        <v>280</v>
      </c>
      <c r="D713" s="25"/>
      <c r="E713" s="46"/>
      <c r="F713" s="131"/>
      <c r="G713" s="131"/>
      <c r="H713" s="131"/>
      <c r="I713" s="207"/>
      <c r="J713" s="207"/>
    </row>
    <row r="714" spans="1:10" ht="12.75">
      <c r="A714" s="147">
        <f t="shared" si="39"/>
        <v>634</v>
      </c>
      <c r="B714" s="4"/>
      <c r="C714" s="79" t="s">
        <v>298</v>
      </c>
      <c r="D714" s="25"/>
      <c r="E714" s="46"/>
      <c r="F714" s="131">
        <f>SUM(F716:F717)</f>
        <v>13900</v>
      </c>
      <c r="G714" s="131">
        <f>SUM(G716:G717)</f>
        <v>13900</v>
      </c>
      <c r="H714" s="131">
        <f>SUM(H716:H717)</f>
        <v>10700</v>
      </c>
      <c r="I714" s="207">
        <f t="shared" si="38"/>
        <v>0.7697841726618705</v>
      </c>
      <c r="J714" s="207">
        <f>H714/$H$1431</f>
        <v>0.00015974558568077141</v>
      </c>
    </row>
    <row r="715" spans="1:10" ht="12.75">
      <c r="A715" s="147">
        <f t="shared" si="39"/>
        <v>635</v>
      </c>
      <c r="B715" s="4"/>
      <c r="C715" s="79" t="s">
        <v>15</v>
      </c>
      <c r="D715" s="25"/>
      <c r="E715" s="46"/>
      <c r="F715" s="131"/>
      <c r="G715" s="131"/>
      <c r="H715" s="131"/>
      <c r="I715" s="207"/>
      <c r="J715" s="207"/>
    </row>
    <row r="716" spans="1:10" ht="12.75">
      <c r="A716" s="147">
        <f t="shared" si="39"/>
        <v>636</v>
      </c>
      <c r="B716" s="4"/>
      <c r="C716" s="79" t="s">
        <v>143</v>
      </c>
      <c r="D716" s="25"/>
      <c r="E716" s="46"/>
      <c r="F716" s="131">
        <v>10200</v>
      </c>
      <c r="G716" s="131">
        <v>10200</v>
      </c>
      <c r="H716" s="131">
        <v>7000</v>
      </c>
      <c r="I716" s="207">
        <f aca="true" t="shared" si="40" ref="I716:I779">H716/G716</f>
        <v>0.6862745098039216</v>
      </c>
      <c r="J716" s="207">
        <f>H716/$H$1431</f>
        <v>0.00010450645792199998</v>
      </c>
    </row>
    <row r="717" spans="1:10" ht="12.75">
      <c r="A717" s="147">
        <f t="shared" si="39"/>
        <v>637</v>
      </c>
      <c r="B717" s="4"/>
      <c r="C717" s="79" t="s">
        <v>144</v>
      </c>
      <c r="D717" s="25"/>
      <c r="E717" s="46"/>
      <c r="F717" s="131">
        <v>3700</v>
      </c>
      <c r="G717" s="131">
        <v>3700</v>
      </c>
      <c r="H717" s="131">
        <v>3700</v>
      </c>
      <c r="I717" s="207">
        <f t="shared" si="40"/>
        <v>1</v>
      </c>
      <c r="J717" s="207">
        <f>H717/$H$1431</f>
        <v>5.523912775877142E-05</v>
      </c>
    </row>
    <row r="718" spans="1:10" ht="12.75">
      <c r="A718" s="147">
        <f t="shared" si="39"/>
        <v>638</v>
      </c>
      <c r="B718" s="4">
        <v>4410</v>
      </c>
      <c r="C718" s="79" t="s">
        <v>29</v>
      </c>
      <c r="D718" s="25"/>
      <c r="E718" s="47">
        <f>SUM(E720:E721)</f>
        <v>16100</v>
      </c>
      <c r="F718" s="23">
        <f>SUM(F720:F721)</f>
        <v>6200</v>
      </c>
      <c r="G718" s="23">
        <f>SUM(G720:G721)</f>
        <v>6200</v>
      </c>
      <c r="H718" s="23">
        <f>SUM(H720:H721)</f>
        <v>6200</v>
      </c>
      <c r="I718" s="207">
        <f t="shared" si="40"/>
        <v>1</v>
      </c>
      <c r="J718" s="207">
        <f>H718/$H$1431</f>
        <v>9.256286273091427E-05</v>
      </c>
    </row>
    <row r="719" spans="1:10" ht="12.75">
      <c r="A719" s="147">
        <f t="shared" si="39"/>
        <v>639</v>
      </c>
      <c r="B719" s="4"/>
      <c r="C719" s="79" t="s">
        <v>15</v>
      </c>
      <c r="D719" s="25"/>
      <c r="E719" s="46"/>
      <c r="F719" s="131"/>
      <c r="G719" s="131"/>
      <c r="H719" s="131"/>
      <c r="I719" s="207"/>
      <c r="J719" s="207"/>
    </row>
    <row r="720" spans="1:10" ht="12.75">
      <c r="A720" s="147">
        <f t="shared" si="39"/>
        <v>640</v>
      </c>
      <c r="B720" s="4"/>
      <c r="C720" s="79" t="s">
        <v>143</v>
      </c>
      <c r="D720" s="25"/>
      <c r="E720" s="46">
        <v>12100</v>
      </c>
      <c r="F720" s="131">
        <v>3000</v>
      </c>
      <c r="G720" s="131">
        <v>3000</v>
      </c>
      <c r="H720" s="131">
        <v>3000</v>
      </c>
      <c r="I720" s="207">
        <f t="shared" si="40"/>
        <v>1</v>
      </c>
      <c r="J720" s="207">
        <f>H720/$H$1431</f>
        <v>4.478848196657142E-05</v>
      </c>
    </row>
    <row r="721" spans="1:10" ht="12.75">
      <c r="A721" s="147">
        <f t="shared" si="39"/>
        <v>641</v>
      </c>
      <c r="B721" s="4"/>
      <c r="C721" s="79" t="s">
        <v>144</v>
      </c>
      <c r="D721" s="25"/>
      <c r="E721" s="46">
        <v>4000</v>
      </c>
      <c r="F721" s="131">
        <v>3200</v>
      </c>
      <c r="G721" s="131">
        <v>3200</v>
      </c>
      <c r="H721" s="131">
        <v>3200</v>
      </c>
      <c r="I721" s="207">
        <f t="shared" si="40"/>
        <v>1</v>
      </c>
      <c r="J721" s="207">
        <f>H721/$H$1431</f>
        <v>4.777438076434285E-05</v>
      </c>
    </row>
    <row r="722" spans="1:10" ht="12.75">
      <c r="A722" s="147">
        <f t="shared" si="39"/>
        <v>642</v>
      </c>
      <c r="B722" s="4">
        <v>4420</v>
      </c>
      <c r="C722" s="79" t="s">
        <v>41</v>
      </c>
      <c r="D722" s="25"/>
      <c r="E722" s="46"/>
      <c r="F722" s="131">
        <f>SUM(F724:F725)</f>
        <v>13413.11</v>
      </c>
      <c r="G722" s="131">
        <f>SUM(G724:G725)</f>
        <v>13413.11</v>
      </c>
      <c r="H722" s="131">
        <f>SUM(H724:H725)</f>
        <v>2000</v>
      </c>
      <c r="I722" s="207">
        <f t="shared" si="40"/>
        <v>0.14910785045377245</v>
      </c>
      <c r="J722" s="207">
        <f>H722/$H$1431</f>
        <v>2.9858987977714282E-05</v>
      </c>
    </row>
    <row r="723" spans="1:10" ht="12.75">
      <c r="A723" s="147">
        <f t="shared" si="39"/>
        <v>643</v>
      </c>
      <c r="B723" s="4"/>
      <c r="C723" s="79" t="s">
        <v>15</v>
      </c>
      <c r="D723" s="25"/>
      <c r="E723" s="46"/>
      <c r="F723" s="131"/>
      <c r="G723" s="131"/>
      <c r="H723" s="131"/>
      <c r="I723" s="207"/>
      <c r="J723" s="207"/>
    </row>
    <row r="724" spans="1:10" ht="12.75">
      <c r="A724" s="147">
        <f t="shared" si="39"/>
        <v>644</v>
      </c>
      <c r="B724" s="4"/>
      <c r="C724" s="79" t="s">
        <v>143</v>
      </c>
      <c r="D724" s="25"/>
      <c r="E724" s="46"/>
      <c r="F724" s="131">
        <v>13413.11</v>
      </c>
      <c r="G724" s="131">
        <v>13413.11</v>
      </c>
      <c r="H724" s="131">
        <v>0</v>
      </c>
      <c r="I724" s="207">
        <f t="shared" si="40"/>
        <v>0</v>
      </c>
      <c r="J724" s="207">
        <f>H724/$H$1431</f>
        <v>0</v>
      </c>
    </row>
    <row r="725" spans="1:10" ht="12.75">
      <c r="A725" s="147">
        <f t="shared" si="39"/>
        <v>645</v>
      </c>
      <c r="B725" s="4"/>
      <c r="C725" s="79" t="s">
        <v>144</v>
      </c>
      <c r="D725" s="25"/>
      <c r="E725" s="46"/>
      <c r="F725" s="131">
        <v>0</v>
      </c>
      <c r="G725" s="131">
        <v>0</v>
      </c>
      <c r="H725" s="131">
        <v>2000</v>
      </c>
      <c r="I725" s="207"/>
      <c r="J725" s="207">
        <f>H725/$H$1431</f>
        <v>2.9858987977714282E-05</v>
      </c>
    </row>
    <row r="726" spans="1:10" ht="12.75">
      <c r="A726" s="147">
        <f t="shared" si="39"/>
        <v>646</v>
      </c>
      <c r="B726" s="4">
        <v>4427</v>
      </c>
      <c r="C726" s="79" t="s">
        <v>279</v>
      </c>
      <c r="D726" s="25"/>
      <c r="E726" s="47" t="e">
        <f>SUM(#REF!)</f>
        <v>#REF!</v>
      </c>
      <c r="F726" s="140"/>
      <c r="G726" s="140"/>
      <c r="H726" s="140"/>
      <c r="I726" s="207"/>
      <c r="J726" s="207"/>
    </row>
    <row r="727" spans="1:10" ht="12.75">
      <c r="A727" s="147">
        <f t="shared" si="39"/>
        <v>647</v>
      </c>
      <c r="B727" s="4"/>
      <c r="C727" s="79" t="s">
        <v>277</v>
      </c>
      <c r="D727" s="25"/>
      <c r="E727" s="46"/>
      <c r="F727" s="131">
        <v>13806.92</v>
      </c>
      <c r="G727" s="131">
        <v>13806.92</v>
      </c>
      <c r="H727" s="131">
        <v>0</v>
      </c>
      <c r="I727" s="207">
        <f t="shared" si="40"/>
        <v>0</v>
      </c>
      <c r="J727" s="207">
        <f>H727/$H$1431</f>
        <v>0</v>
      </c>
    </row>
    <row r="728" spans="1:10" ht="12.75">
      <c r="A728" s="147">
        <f aca="true" t="shared" si="41" ref="A728:A791">A727+1</f>
        <v>648</v>
      </c>
      <c r="B728" s="4">
        <v>4430</v>
      </c>
      <c r="C728" s="79" t="s">
        <v>39</v>
      </c>
      <c r="D728" s="23"/>
      <c r="E728" s="47">
        <f>SUM(E730:E731)</f>
        <v>6000</v>
      </c>
      <c r="F728" s="23">
        <f>SUM(F730:F731)</f>
        <v>5300</v>
      </c>
      <c r="G728" s="23">
        <f>SUM(G730:G731)</f>
        <v>5300</v>
      </c>
      <c r="H728" s="23">
        <f>SUM(H730:H731)</f>
        <v>5400</v>
      </c>
      <c r="I728" s="207">
        <f t="shared" si="40"/>
        <v>1.0188679245283019</v>
      </c>
      <c r="J728" s="207">
        <f>H728/$H$1431</f>
        <v>8.061926753982856E-05</v>
      </c>
    </row>
    <row r="729" spans="1:10" ht="12.75">
      <c r="A729" s="147">
        <f t="shared" si="41"/>
        <v>649</v>
      </c>
      <c r="B729" s="4"/>
      <c r="C729" s="79" t="s">
        <v>15</v>
      </c>
      <c r="D729" s="25"/>
      <c r="E729" s="46"/>
      <c r="F729" s="131"/>
      <c r="G729" s="131"/>
      <c r="H729" s="131"/>
      <c r="I729" s="207"/>
      <c r="J729" s="207"/>
    </row>
    <row r="730" spans="1:10" ht="12.75">
      <c r="A730" s="147">
        <f t="shared" si="41"/>
        <v>650</v>
      </c>
      <c r="B730" s="4"/>
      <c r="C730" s="79" t="s">
        <v>143</v>
      </c>
      <c r="D730" s="25"/>
      <c r="E730" s="46">
        <v>4000</v>
      </c>
      <c r="F730" s="131">
        <v>3200</v>
      </c>
      <c r="G730" s="131">
        <v>3200</v>
      </c>
      <c r="H730" s="131">
        <v>3200</v>
      </c>
      <c r="I730" s="207">
        <f t="shared" si="40"/>
        <v>1</v>
      </c>
      <c r="J730" s="207">
        <f>H730/$H$1431</f>
        <v>4.777438076434285E-05</v>
      </c>
    </row>
    <row r="731" spans="1:10" ht="12.75">
      <c r="A731" s="147">
        <f t="shared" si="41"/>
        <v>651</v>
      </c>
      <c r="B731" s="4"/>
      <c r="C731" s="79" t="s">
        <v>144</v>
      </c>
      <c r="D731" s="25"/>
      <c r="E731" s="46">
        <v>2000</v>
      </c>
      <c r="F731" s="131">
        <v>2100</v>
      </c>
      <c r="G731" s="131">
        <v>2100</v>
      </c>
      <c r="H731" s="131">
        <v>2200</v>
      </c>
      <c r="I731" s="207">
        <f t="shared" si="40"/>
        <v>1.0476190476190477</v>
      </c>
      <c r="J731" s="207">
        <f>H731/$H$1431</f>
        <v>3.284488677548571E-05</v>
      </c>
    </row>
    <row r="732" spans="1:10" ht="12.75">
      <c r="A732" s="147">
        <f t="shared" si="41"/>
        <v>652</v>
      </c>
      <c r="B732" s="4">
        <v>4440</v>
      </c>
      <c r="C732" s="79" t="s">
        <v>436</v>
      </c>
      <c r="D732" s="25"/>
      <c r="E732" s="47">
        <f>SUM(E734:E735)</f>
        <v>81300</v>
      </c>
      <c r="F732" s="23">
        <f>SUM(F734:F735)</f>
        <v>109700</v>
      </c>
      <c r="G732" s="23">
        <f>SUM(G734:G735)</f>
        <v>109700</v>
      </c>
      <c r="H732" s="23">
        <f>SUM(H734:H735)</f>
        <v>113500</v>
      </c>
      <c r="I732" s="207">
        <f t="shared" si="40"/>
        <v>1.0346399270738378</v>
      </c>
      <c r="J732" s="207">
        <f>H732/$H$1431</f>
        <v>0.0016944975677352855</v>
      </c>
    </row>
    <row r="733" spans="1:10" ht="12.75">
      <c r="A733" s="147">
        <f t="shared" si="41"/>
        <v>653</v>
      </c>
      <c r="B733" s="4"/>
      <c r="C733" s="79" t="s">
        <v>15</v>
      </c>
      <c r="D733" s="25"/>
      <c r="E733" s="46"/>
      <c r="F733" s="131"/>
      <c r="G733" s="131"/>
      <c r="H733" s="131"/>
      <c r="I733" s="207"/>
      <c r="J733" s="207"/>
    </row>
    <row r="734" spans="1:10" ht="12.75">
      <c r="A734" s="147">
        <f t="shared" si="41"/>
        <v>654</v>
      </c>
      <c r="B734" s="4"/>
      <c r="C734" s="79" t="s">
        <v>143</v>
      </c>
      <c r="D734" s="25"/>
      <c r="E734" s="46">
        <v>63500</v>
      </c>
      <c r="F734" s="131">
        <v>83000</v>
      </c>
      <c r="G734" s="131">
        <v>83000</v>
      </c>
      <c r="H734" s="131">
        <v>82500</v>
      </c>
      <c r="I734" s="207">
        <f t="shared" si="40"/>
        <v>0.9939759036144579</v>
      </c>
      <c r="J734" s="207">
        <f>H734/$H$1431</f>
        <v>0.001231683254080714</v>
      </c>
    </row>
    <row r="735" spans="1:10" ht="12.75">
      <c r="A735" s="147">
        <f t="shared" si="41"/>
        <v>655</v>
      </c>
      <c r="B735" s="4"/>
      <c r="C735" s="79" t="s">
        <v>144</v>
      </c>
      <c r="D735" s="25"/>
      <c r="E735" s="46">
        <v>17800</v>
      </c>
      <c r="F735" s="131">
        <v>26700</v>
      </c>
      <c r="G735" s="131">
        <v>26700</v>
      </c>
      <c r="H735" s="131">
        <v>31000</v>
      </c>
      <c r="I735" s="207">
        <f t="shared" si="40"/>
        <v>1.1610486891385767</v>
      </c>
      <c r="J735" s="207">
        <f>H735/$H$1431</f>
        <v>0.00046281431365457137</v>
      </c>
    </row>
    <row r="736" spans="1:10" ht="12.75">
      <c r="A736" s="147">
        <f t="shared" si="41"/>
        <v>656</v>
      </c>
      <c r="B736" s="4">
        <v>4480</v>
      </c>
      <c r="C736" s="79" t="s">
        <v>534</v>
      </c>
      <c r="D736" s="25"/>
      <c r="E736" s="46"/>
      <c r="F736" s="131">
        <v>7.1</v>
      </c>
      <c r="G736" s="131">
        <v>7.1</v>
      </c>
      <c r="H736" s="131">
        <v>130</v>
      </c>
      <c r="I736" s="207">
        <f t="shared" si="40"/>
        <v>18.30985915492958</v>
      </c>
      <c r="J736" s="207">
        <f>H736/$H$1431</f>
        <v>1.940834218551428E-06</v>
      </c>
    </row>
    <row r="737" spans="1:10" ht="12.75">
      <c r="A737" s="147">
        <f t="shared" si="41"/>
        <v>657</v>
      </c>
      <c r="B737" s="4">
        <v>4510</v>
      </c>
      <c r="C737" s="79" t="s">
        <v>493</v>
      </c>
      <c r="D737" s="25"/>
      <c r="E737" s="46"/>
      <c r="F737" s="131">
        <f>SUM(F739:F740)</f>
        <v>16425</v>
      </c>
      <c r="G737" s="131">
        <f>SUM(G739:G740)</f>
        <v>16425</v>
      </c>
      <c r="H737" s="131">
        <f>SUM(H739:H740)</f>
        <v>1500</v>
      </c>
      <c r="I737" s="207">
        <f t="shared" si="40"/>
        <v>0.091324200913242</v>
      </c>
      <c r="J737" s="207">
        <f>H737/$H$1431</f>
        <v>2.239424098328571E-05</v>
      </c>
    </row>
    <row r="738" spans="1:10" ht="12.75">
      <c r="A738" s="147">
        <f t="shared" si="41"/>
        <v>658</v>
      </c>
      <c r="B738" s="4"/>
      <c r="C738" s="79" t="s">
        <v>15</v>
      </c>
      <c r="D738" s="25"/>
      <c r="E738" s="46"/>
      <c r="F738" s="131"/>
      <c r="G738" s="131"/>
      <c r="H738" s="131"/>
      <c r="I738" s="207"/>
      <c r="J738" s="207"/>
    </row>
    <row r="739" spans="1:10" ht="12.75">
      <c r="A739" s="147">
        <f t="shared" si="41"/>
        <v>659</v>
      </c>
      <c r="B739" s="4"/>
      <c r="C739" s="79" t="s">
        <v>143</v>
      </c>
      <c r="D739" s="25"/>
      <c r="E739" s="46"/>
      <c r="F739" s="131">
        <v>9825</v>
      </c>
      <c r="G739" s="131">
        <v>9825</v>
      </c>
      <c r="H739" s="131">
        <v>0</v>
      </c>
      <c r="I739" s="207">
        <f t="shared" si="40"/>
        <v>0</v>
      </c>
      <c r="J739" s="207">
        <f>H739/$H$1431</f>
        <v>0</v>
      </c>
    </row>
    <row r="740" spans="1:10" ht="12.75">
      <c r="A740" s="147">
        <f t="shared" si="41"/>
        <v>660</v>
      </c>
      <c r="B740" s="4"/>
      <c r="C740" s="79" t="s">
        <v>144</v>
      </c>
      <c r="D740" s="25"/>
      <c r="E740" s="46"/>
      <c r="F740" s="131">
        <v>6600</v>
      </c>
      <c r="G740" s="131">
        <v>6600</v>
      </c>
      <c r="H740" s="131">
        <v>1500</v>
      </c>
      <c r="I740" s="207">
        <f t="shared" si="40"/>
        <v>0.22727272727272727</v>
      </c>
      <c r="J740" s="207">
        <f>H740/$H$1431</f>
        <v>2.239424098328571E-05</v>
      </c>
    </row>
    <row r="741" spans="1:10" ht="12.75">
      <c r="A741" s="147">
        <f t="shared" si="41"/>
        <v>661</v>
      </c>
      <c r="B741" s="4">
        <v>4570</v>
      </c>
      <c r="C741" s="79" t="s">
        <v>514</v>
      </c>
      <c r="D741" s="25"/>
      <c r="E741" s="46"/>
      <c r="F741" s="131"/>
      <c r="G741" s="131"/>
      <c r="H741" s="131"/>
      <c r="I741" s="207"/>
      <c r="J741" s="207"/>
    </row>
    <row r="742" spans="1:10" ht="12.75">
      <c r="A742" s="147">
        <f t="shared" si="41"/>
        <v>662</v>
      </c>
      <c r="B742" s="4"/>
      <c r="C742" s="79" t="s">
        <v>515</v>
      </c>
      <c r="D742" s="25"/>
      <c r="E742" s="46"/>
      <c r="F742" s="131">
        <f>SUM(F743:F745)</f>
        <v>6800</v>
      </c>
      <c r="G742" s="131">
        <f>SUM(G743:G745)</f>
        <v>6800</v>
      </c>
      <c r="H742" s="131">
        <f>SUM(H743:H745)</f>
        <v>0</v>
      </c>
      <c r="I742" s="207">
        <f t="shared" si="40"/>
        <v>0</v>
      </c>
      <c r="J742" s="207">
        <f>H742/$H$1431</f>
        <v>0</v>
      </c>
    </row>
    <row r="743" spans="1:10" ht="12.75">
      <c r="A743" s="147">
        <f t="shared" si="41"/>
        <v>663</v>
      </c>
      <c r="B743" s="4"/>
      <c r="C743" s="79" t="s">
        <v>15</v>
      </c>
      <c r="D743" s="25"/>
      <c r="E743" s="46"/>
      <c r="F743" s="131"/>
      <c r="G743" s="131"/>
      <c r="H743" s="131"/>
      <c r="I743" s="207"/>
      <c r="J743" s="207"/>
    </row>
    <row r="744" spans="1:10" ht="12.75">
      <c r="A744" s="147">
        <f t="shared" si="41"/>
        <v>664</v>
      </c>
      <c r="B744" s="4"/>
      <c r="C744" s="79" t="s">
        <v>143</v>
      </c>
      <c r="D744" s="25"/>
      <c r="E744" s="46"/>
      <c r="F744" s="131">
        <v>4500</v>
      </c>
      <c r="G744" s="131">
        <v>4500</v>
      </c>
      <c r="H744" s="131">
        <v>0</v>
      </c>
      <c r="I744" s="207">
        <f t="shared" si="40"/>
        <v>0</v>
      </c>
      <c r="J744" s="207">
        <f>H744/$H$1431</f>
        <v>0</v>
      </c>
    </row>
    <row r="745" spans="1:10" ht="12.75">
      <c r="A745" s="147">
        <f t="shared" si="41"/>
        <v>665</v>
      </c>
      <c r="B745" s="4"/>
      <c r="C745" s="79" t="s">
        <v>144</v>
      </c>
      <c r="D745" s="25"/>
      <c r="E745" s="46"/>
      <c r="F745" s="131">
        <v>2300</v>
      </c>
      <c r="G745" s="131">
        <v>2300</v>
      </c>
      <c r="H745" s="131">
        <v>0</v>
      </c>
      <c r="I745" s="207">
        <f t="shared" si="40"/>
        <v>0</v>
      </c>
      <c r="J745" s="207">
        <f>H745/$H$1431</f>
        <v>0</v>
      </c>
    </row>
    <row r="746" spans="1:10" ht="12.75">
      <c r="A746" s="147">
        <f t="shared" si="41"/>
        <v>666</v>
      </c>
      <c r="B746" s="4">
        <v>4700</v>
      </c>
      <c r="C746" s="79" t="s">
        <v>297</v>
      </c>
      <c r="D746" s="25"/>
      <c r="E746" s="46"/>
      <c r="F746" s="131"/>
      <c r="G746" s="131"/>
      <c r="H746" s="131"/>
      <c r="I746" s="207"/>
      <c r="J746" s="207"/>
    </row>
    <row r="747" spans="1:10" ht="12.75">
      <c r="A747" s="147">
        <f t="shared" si="41"/>
        <v>667</v>
      </c>
      <c r="B747" s="4"/>
      <c r="C747" s="79" t="s">
        <v>296</v>
      </c>
      <c r="D747" s="25"/>
      <c r="E747" s="46"/>
      <c r="F747" s="131">
        <f>SUM(F749:F750)</f>
        <v>3000</v>
      </c>
      <c r="G747" s="131">
        <f>SUM(G749:G750)</f>
        <v>3000</v>
      </c>
      <c r="H747" s="131">
        <f>SUM(H749:H750)</f>
        <v>3000</v>
      </c>
      <c r="I747" s="207">
        <f t="shared" si="40"/>
        <v>1</v>
      </c>
      <c r="J747" s="207">
        <f>H747/$H$1431</f>
        <v>4.478848196657142E-05</v>
      </c>
    </row>
    <row r="748" spans="1:10" ht="12.75">
      <c r="A748" s="147">
        <f t="shared" si="41"/>
        <v>668</v>
      </c>
      <c r="B748" s="4"/>
      <c r="C748" s="79" t="s">
        <v>15</v>
      </c>
      <c r="D748" s="25"/>
      <c r="E748" s="46"/>
      <c r="F748" s="131"/>
      <c r="G748" s="131"/>
      <c r="H748" s="131"/>
      <c r="I748" s="207"/>
      <c r="J748" s="207"/>
    </row>
    <row r="749" spans="1:10" ht="12.75">
      <c r="A749" s="147">
        <f t="shared" si="41"/>
        <v>669</v>
      </c>
      <c r="B749" s="4"/>
      <c r="C749" s="79" t="s">
        <v>143</v>
      </c>
      <c r="D749" s="25"/>
      <c r="E749" s="46"/>
      <c r="F749" s="131">
        <v>3000</v>
      </c>
      <c r="G749" s="131">
        <v>3000</v>
      </c>
      <c r="H749" s="131">
        <v>3000</v>
      </c>
      <c r="I749" s="207">
        <f t="shared" si="40"/>
        <v>1</v>
      </c>
      <c r="J749" s="207">
        <f>H749/$H$1431</f>
        <v>4.478848196657142E-05</v>
      </c>
    </row>
    <row r="750" spans="1:10" ht="12.75">
      <c r="A750" s="147">
        <f t="shared" si="41"/>
        <v>670</v>
      </c>
      <c r="B750" s="4"/>
      <c r="C750" s="79" t="s">
        <v>144</v>
      </c>
      <c r="D750" s="25"/>
      <c r="E750" s="46"/>
      <c r="F750" s="131">
        <v>0</v>
      </c>
      <c r="G750" s="131">
        <v>0</v>
      </c>
      <c r="H750" s="131">
        <v>0</v>
      </c>
      <c r="I750" s="207"/>
      <c r="J750" s="207">
        <f>H750/$H$1431</f>
        <v>0</v>
      </c>
    </row>
    <row r="751" spans="1:10" ht="12.75">
      <c r="A751" s="147">
        <f t="shared" si="41"/>
        <v>671</v>
      </c>
      <c r="B751" s="4">
        <v>4740</v>
      </c>
      <c r="C751" s="79" t="s">
        <v>270</v>
      </c>
      <c r="D751" s="25"/>
      <c r="E751" s="46"/>
      <c r="F751" s="131"/>
      <c r="G751" s="131"/>
      <c r="H751" s="131"/>
      <c r="I751" s="207"/>
      <c r="J751" s="207"/>
    </row>
    <row r="752" spans="1:10" ht="12.75">
      <c r="A752" s="147">
        <f t="shared" si="41"/>
        <v>672</v>
      </c>
      <c r="B752" s="4"/>
      <c r="C752" s="79" t="s">
        <v>271</v>
      </c>
      <c r="D752" s="25"/>
      <c r="E752" s="46"/>
      <c r="F752" s="131">
        <f>SUM(F754:F755)</f>
        <v>3000</v>
      </c>
      <c r="G752" s="131">
        <f>SUM(G754:G755)</f>
        <v>3000</v>
      </c>
      <c r="H752" s="131">
        <f>SUM(H754:H755)</f>
        <v>3500</v>
      </c>
      <c r="I752" s="207">
        <f t="shared" si="40"/>
        <v>1.1666666666666667</v>
      </c>
      <c r="J752" s="207">
        <f>H752/$H$1431</f>
        <v>5.225322896099999E-05</v>
      </c>
    </row>
    <row r="753" spans="1:10" ht="12.75">
      <c r="A753" s="147">
        <f t="shared" si="41"/>
        <v>673</v>
      </c>
      <c r="B753" s="4"/>
      <c r="C753" s="79" t="s">
        <v>15</v>
      </c>
      <c r="D753" s="25"/>
      <c r="E753" s="46"/>
      <c r="F753" s="131"/>
      <c r="G753" s="131"/>
      <c r="H753" s="131"/>
      <c r="I753" s="207"/>
      <c r="J753" s="207"/>
    </row>
    <row r="754" spans="1:10" ht="12.75">
      <c r="A754" s="147">
        <f t="shared" si="41"/>
        <v>674</v>
      </c>
      <c r="B754" s="4"/>
      <c r="C754" s="79" t="s">
        <v>143</v>
      </c>
      <c r="D754" s="25"/>
      <c r="E754" s="46"/>
      <c r="F754" s="131">
        <v>2000</v>
      </c>
      <c r="G754" s="131">
        <v>2000</v>
      </c>
      <c r="H754" s="131">
        <v>2000</v>
      </c>
      <c r="I754" s="207">
        <f t="shared" si="40"/>
        <v>1</v>
      </c>
      <c r="J754" s="207">
        <f>H754/$H$1431</f>
        <v>2.9858987977714282E-05</v>
      </c>
    </row>
    <row r="755" spans="1:10" ht="12.75">
      <c r="A755" s="147">
        <f t="shared" si="41"/>
        <v>675</v>
      </c>
      <c r="B755" s="4"/>
      <c r="C755" s="79" t="s">
        <v>144</v>
      </c>
      <c r="D755" s="25"/>
      <c r="E755" s="46"/>
      <c r="F755" s="131">
        <v>1000</v>
      </c>
      <c r="G755" s="131">
        <v>1000</v>
      </c>
      <c r="H755" s="131">
        <v>1500</v>
      </c>
      <c r="I755" s="207">
        <f t="shared" si="40"/>
        <v>1.5</v>
      </c>
      <c r="J755" s="207">
        <f>H755/$H$1431</f>
        <v>2.239424098328571E-05</v>
      </c>
    </row>
    <row r="756" spans="1:10" ht="12.75">
      <c r="A756" s="147">
        <f t="shared" si="41"/>
        <v>676</v>
      </c>
      <c r="B756" s="4">
        <v>4750</v>
      </c>
      <c r="C756" s="79" t="s">
        <v>272</v>
      </c>
      <c r="D756" s="25"/>
      <c r="E756" s="46"/>
      <c r="F756" s="131"/>
      <c r="G756" s="131"/>
      <c r="H756" s="131"/>
      <c r="I756" s="207"/>
      <c r="J756" s="207"/>
    </row>
    <row r="757" spans="1:10" ht="12.75">
      <c r="A757" s="147">
        <f t="shared" si="41"/>
        <v>677</v>
      </c>
      <c r="B757" s="4"/>
      <c r="C757" s="79" t="s">
        <v>273</v>
      </c>
      <c r="D757" s="25"/>
      <c r="E757" s="46"/>
      <c r="F757" s="131">
        <f>SUM(F759:F760)</f>
        <v>20100</v>
      </c>
      <c r="G757" s="131">
        <f>SUM(G759:G760)</f>
        <v>20100</v>
      </c>
      <c r="H757" s="131">
        <f>SUM(H759:H760)</f>
        <v>17500</v>
      </c>
      <c r="I757" s="207">
        <f t="shared" si="40"/>
        <v>0.8706467661691543</v>
      </c>
      <c r="J757" s="207">
        <f>H757/$H$1431</f>
        <v>0.000261266144805</v>
      </c>
    </row>
    <row r="758" spans="1:10" ht="12.75">
      <c r="A758" s="147">
        <f t="shared" si="41"/>
        <v>678</v>
      </c>
      <c r="B758" s="4"/>
      <c r="C758" s="79" t="s">
        <v>15</v>
      </c>
      <c r="D758" s="25"/>
      <c r="E758" s="46"/>
      <c r="F758" s="131"/>
      <c r="G758" s="131"/>
      <c r="H758" s="131"/>
      <c r="I758" s="207"/>
      <c r="J758" s="207"/>
    </row>
    <row r="759" spans="1:10" ht="12.75">
      <c r="A759" s="147">
        <f t="shared" si="41"/>
        <v>679</v>
      </c>
      <c r="B759" s="4"/>
      <c r="C759" s="79" t="s">
        <v>143</v>
      </c>
      <c r="D759" s="25"/>
      <c r="E759" s="46"/>
      <c r="F759" s="131">
        <v>15000</v>
      </c>
      <c r="G759" s="131">
        <v>15000</v>
      </c>
      <c r="H759" s="131">
        <v>15000</v>
      </c>
      <c r="I759" s="207">
        <f t="shared" si="40"/>
        <v>1</v>
      </c>
      <c r="J759" s="207">
        <f>H759/$H$1431</f>
        <v>0.0002239424098328571</v>
      </c>
    </row>
    <row r="760" spans="1:10" ht="12.75">
      <c r="A760" s="147">
        <f t="shared" si="41"/>
        <v>680</v>
      </c>
      <c r="B760" s="4"/>
      <c r="C760" s="79" t="s">
        <v>144</v>
      </c>
      <c r="D760" s="25"/>
      <c r="E760" s="46"/>
      <c r="F760" s="131">
        <v>5100</v>
      </c>
      <c r="G760" s="131">
        <v>5100</v>
      </c>
      <c r="H760" s="131">
        <v>2500</v>
      </c>
      <c r="I760" s="207">
        <f t="shared" si="40"/>
        <v>0.49019607843137253</v>
      </c>
      <c r="J760" s="207">
        <f>H760/$H$1431</f>
        <v>3.7323734972142854E-05</v>
      </c>
    </row>
    <row r="761" spans="1:10" ht="11.25" customHeight="1">
      <c r="A761" s="147">
        <f t="shared" si="41"/>
        <v>681</v>
      </c>
      <c r="B761" s="4">
        <v>6050</v>
      </c>
      <c r="C761" s="79" t="s">
        <v>198</v>
      </c>
      <c r="D761" s="25"/>
      <c r="E761" s="46"/>
      <c r="F761" s="131"/>
      <c r="G761" s="131"/>
      <c r="H761" s="131"/>
      <c r="I761" s="207"/>
      <c r="J761" s="207"/>
    </row>
    <row r="762" spans="1:10" ht="12.75">
      <c r="A762" s="147">
        <f t="shared" si="41"/>
        <v>682</v>
      </c>
      <c r="B762" s="4"/>
      <c r="C762" s="79" t="s">
        <v>142</v>
      </c>
      <c r="D762" s="25"/>
      <c r="E762" s="45">
        <f>SUM(E764:E764)</f>
        <v>3900</v>
      </c>
      <c r="F762" s="28">
        <f>SUM(F764:F765)</f>
        <v>86066</v>
      </c>
      <c r="G762" s="28">
        <f>SUM(G764:G765)</f>
        <v>0</v>
      </c>
      <c r="H762" s="28">
        <f>SUM(H764:H765)</f>
        <v>647000</v>
      </c>
      <c r="I762" s="207"/>
      <c r="J762" s="207">
        <f>H762/$H$1431</f>
        <v>0.00965938261079057</v>
      </c>
    </row>
    <row r="763" spans="1:10" ht="12.75">
      <c r="A763" s="147">
        <f t="shared" si="41"/>
        <v>683</v>
      </c>
      <c r="B763" s="4"/>
      <c r="C763" s="79" t="s">
        <v>15</v>
      </c>
      <c r="D763" s="25"/>
      <c r="E763" s="46"/>
      <c r="F763" s="131"/>
      <c r="G763" s="131"/>
      <c r="H763" s="131"/>
      <c r="I763" s="207"/>
      <c r="J763" s="207"/>
    </row>
    <row r="764" spans="1:10" ht="12.75">
      <c r="A764" s="147">
        <f t="shared" si="41"/>
        <v>684</v>
      </c>
      <c r="B764" s="4"/>
      <c r="C764" s="79" t="s">
        <v>640</v>
      </c>
      <c r="D764" s="25"/>
      <c r="E764" s="46">
        <v>3900</v>
      </c>
      <c r="F764" s="131">
        <v>86066</v>
      </c>
      <c r="G764" s="131">
        <v>0</v>
      </c>
      <c r="H764" s="131">
        <v>497000</v>
      </c>
      <c r="I764" s="207"/>
      <c r="J764" s="207">
        <f>H764/$H$1431</f>
        <v>0.007419958512461999</v>
      </c>
    </row>
    <row r="765" spans="1:10" ht="12.75">
      <c r="A765" s="147">
        <f t="shared" si="41"/>
        <v>685</v>
      </c>
      <c r="B765" s="4"/>
      <c r="C765" s="79" t="s">
        <v>639</v>
      </c>
      <c r="D765" s="25"/>
      <c r="E765" s="46"/>
      <c r="F765" s="131">
        <v>0</v>
      </c>
      <c r="G765" s="131">
        <v>0</v>
      </c>
      <c r="H765" s="131">
        <v>150000</v>
      </c>
      <c r="I765" s="207"/>
      <c r="J765" s="207">
        <f>H765/$H$1431</f>
        <v>0.0022394240983285713</v>
      </c>
    </row>
    <row r="766" spans="1:10" s="73" customFormat="1" ht="12.75">
      <c r="A766" s="147">
        <f t="shared" si="41"/>
        <v>686</v>
      </c>
      <c r="B766" s="62">
        <v>80103</v>
      </c>
      <c r="C766" s="68" t="s">
        <v>231</v>
      </c>
      <c r="D766" s="63"/>
      <c r="E766" s="72"/>
      <c r="F766" s="138"/>
      <c r="G766" s="138"/>
      <c r="H766" s="138"/>
      <c r="I766" s="207"/>
      <c r="J766" s="207"/>
    </row>
    <row r="767" spans="1:10" s="73" customFormat="1" ht="12.75">
      <c r="A767" s="147">
        <f t="shared" si="41"/>
        <v>687</v>
      </c>
      <c r="B767" s="127"/>
      <c r="C767" s="68" t="s">
        <v>230</v>
      </c>
      <c r="D767" s="63"/>
      <c r="E767" s="72"/>
      <c r="F767" s="138">
        <f>SUM(F768:F773)</f>
        <v>40015</v>
      </c>
      <c r="G767" s="138">
        <f>SUM(G768:G773)</f>
        <v>40015</v>
      </c>
      <c r="H767" s="138">
        <f>SUM(H768:H773)</f>
        <v>53897</v>
      </c>
      <c r="I767" s="207">
        <f t="shared" si="40"/>
        <v>1.3469199050356115</v>
      </c>
      <c r="J767" s="207">
        <f aca="true" t="shared" si="42" ref="J767:J782">H767/$H$1431</f>
        <v>0.0008046549375174333</v>
      </c>
    </row>
    <row r="768" spans="1:10" ht="12.75">
      <c r="A768" s="147">
        <f t="shared" si="41"/>
        <v>688</v>
      </c>
      <c r="B768" s="4">
        <v>3020</v>
      </c>
      <c r="C768" s="79" t="s">
        <v>218</v>
      </c>
      <c r="D768" s="25"/>
      <c r="E768" s="45">
        <v>2700</v>
      </c>
      <c r="F768" s="131">
        <v>2690</v>
      </c>
      <c r="G768" s="131">
        <v>2690</v>
      </c>
      <c r="H768" s="131">
        <v>2752</v>
      </c>
      <c r="I768" s="207">
        <f t="shared" si="40"/>
        <v>1.0230483271375466</v>
      </c>
      <c r="J768" s="207">
        <f t="shared" si="42"/>
        <v>4.108596745733485E-05</v>
      </c>
    </row>
    <row r="769" spans="1:10" ht="12.75">
      <c r="A769" s="147">
        <f t="shared" si="41"/>
        <v>689</v>
      </c>
      <c r="B769" s="4">
        <v>4010</v>
      </c>
      <c r="C769" s="79" t="s">
        <v>27</v>
      </c>
      <c r="D769" s="25"/>
      <c r="E769" s="45">
        <v>65850</v>
      </c>
      <c r="F769" s="131">
        <v>28050</v>
      </c>
      <c r="G769" s="131">
        <v>28050</v>
      </c>
      <c r="H769" s="131">
        <v>40650</v>
      </c>
      <c r="I769" s="207">
        <f t="shared" si="40"/>
        <v>1.4491978609625669</v>
      </c>
      <c r="J769" s="207">
        <f t="shared" si="42"/>
        <v>0.0006068839306470427</v>
      </c>
    </row>
    <row r="770" spans="1:10" ht="12.75">
      <c r="A770" s="147">
        <f t="shared" si="41"/>
        <v>690</v>
      </c>
      <c r="B770" s="4">
        <v>4040</v>
      </c>
      <c r="C770" s="79" t="s">
        <v>28</v>
      </c>
      <c r="D770" s="25"/>
      <c r="E770" s="45">
        <v>5000</v>
      </c>
      <c r="F770" s="131">
        <v>1920</v>
      </c>
      <c r="G770" s="131">
        <v>1920</v>
      </c>
      <c r="H770" s="131">
        <v>2400</v>
      </c>
      <c r="I770" s="207">
        <f t="shared" si="40"/>
        <v>1.25</v>
      </c>
      <c r="J770" s="207">
        <f t="shared" si="42"/>
        <v>3.5830785573257135E-05</v>
      </c>
    </row>
    <row r="771" spans="1:10" ht="12.75">
      <c r="A771" s="147">
        <f t="shared" si="41"/>
        <v>691</v>
      </c>
      <c r="B771" s="4">
        <v>4110</v>
      </c>
      <c r="C771" s="79" t="s">
        <v>32</v>
      </c>
      <c r="D771" s="25"/>
      <c r="E771" s="45">
        <v>12930</v>
      </c>
      <c r="F771" s="131">
        <v>4460</v>
      </c>
      <c r="G771" s="131">
        <v>4460</v>
      </c>
      <c r="H771" s="131">
        <v>5100</v>
      </c>
      <c r="I771" s="207">
        <f t="shared" si="40"/>
        <v>1.1434977578475336</v>
      </c>
      <c r="J771" s="207">
        <f t="shared" si="42"/>
        <v>7.614041934317142E-05</v>
      </c>
    </row>
    <row r="772" spans="1:10" ht="12.75">
      <c r="A772" s="147">
        <f t="shared" si="41"/>
        <v>692</v>
      </c>
      <c r="B772" s="4">
        <v>4120</v>
      </c>
      <c r="C772" s="79" t="s">
        <v>33</v>
      </c>
      <c r="D772" s="25"/>
      <c r="E772" s="45">
        <v>1800</v>
      </c>
      <c r="F772" s="131">
        <v>710</v>
      </c>
      <c r="G772" s="131">
        <v>710</v>
      </c>
      <c r="H772" s="131">
        <v>810</v>
      </c>
      <c r="I772" s="207">
        <f t="shared" si="40"/>
        <v>1.1408450704225352</v>
      </c>
      <c r="J772" s="207">
        <f t="shared" si="42"/>
        <v>1.2092890130974284E-05</v>
      </c>
    </row>
    <row r="773" spans="1:10" ht="12.75">
      <c r="A773" s="147">
        <f t="shared" si="41"/>
        <v>693</v>
      </c>
      <c r="B773" s="4">
        <v>4440</v>
      </c>
      <c r="C773" s="79" t="s">
        <v>42</v>
      </c>
      <c r="D773" s="25"/>
      <c r="E773" s="45">
        <v>4320</v>
      </c>
      <c r="F773" s="131">
        <v>2185</v>
      </c>
      <c r="G773" s="131">
        <v>2185</v>
      </c>
      <c r="H773" s="131">
        <v>2185</v>
      </c>
      <c r="I773" s="207">
        <f t="shared" si="40"/>
        <v>1</v>
      </c>
      <c r="J773" s="207">
        <f t="shared" si="42"/>
        <v>3.262094436565285E-05</v>
      </c>
    </row>
    <row r="774" spans="1:10" s="73" customFormat="1" ht="12.75">
      <c r="A774" s="147">
        <f t="shared" si="41"/>
        <v>694</v>
      </c>
      <c r="B774" s="62">
        <v>80104</v>
      </c>
      <c r="C774" s="68" t="s">
        <v>192</v>
      </c>
      <c r="D774" s="63"/>
      <c r="E774" s="64">
        <f>SUM(E775:E794)</f>
        <v>92600</v>
      </c>
      <c r="F774" s="63">
        <f>+F775+F776+F777+F778+F779+F780+F781+F782+F784+F785+F786+F787+F788+F789+F791+F792+F793+F794+F795+F797+F799+F801+F803+F804</f>
        <v>1450757</v>
      </c>
      <c r="G774" s="63">
        <f>+G775+G776+G777+G778+G779+G780+G781+G782+G784+G785+G786+G787+G788+G789+G791+G792+G793+G794+G795+G797+G799+G801+G803+G804</f>
        <v>1450757</v>
      </c>
      <c r="H774" s="63">
        <f>+H775+H776+H777+H778+H779+H780+H781+H782+H784+H785+H786+H787+H788+H789+H791+H792+H793+H794+H795+H797+H799+H801+H803+H804</f>
        <v>2017510</v>
      </c>
      <c r="I774" s="207">
        <f t="shared" si="40"/>
        <v>1.3906601863716666</v>
      </c>
      <c r="J774" s="207">
        <f t="shared" si="42"/>
        <v>0.03012040341745917</v>
      </c>
    </row>
    <row r="775" spans="1:10" ht="12.75">
      <c r="A775" s="147">
        <f t="shared" si="41"/>
        <v>695</v>
      </c>
      <c r="B775" s="4">
        <v>3020</v>
      </c>
      <c r="C775" s="79" t="s">
        <v>218</v>
      </c>
      <c r="D775" s="25"/>
      <c r="E775" s="45">
        <v>2700</v>
      </c>
      <c r="F775" s="131">
        <v>3800</v>
      </c>
      <c r="G775" s="131">
        <v>3800</v>
      </c>
      <c r="H775" s="131">
        <v>4340</v>
      </c>
      <c r="I775" s="207">
        <f t="shared" si="40"/>
        <v>1.1421052631578947</v>
      </c>
      <c r="J775" s="207">
        <f t="shared" si="42"/>
        <v>6.479400391163999E-05</v>
      </c>
    </row>
    <row r="776" spans="1:10" ht="12.75">
      <c r="A776" s="147">
        <f t="shared" si="41"/>
        <v>696</v>
      </c>
      <c r="B776" s="4">
        <v>4010</v>
      </c>
      <c r="C776" s="79" t="s">
        <v>27</v>
      </c>
      <c r="D776" s="25"/>
      <c r="E776" s="45">
        <v>65850</v>
      </c>
      <c r="F776" s="131">
        <v>865628</v>
      </c>
      <c r="G776" s="131">
        <v>865628</v>
      </c>
      <c r="H776" s="131">
        <v>989300</v>
      </c>
      <c r="I776" s="207">
        <f t="shared" si="40"/>
        <v>1.1428696853613793</v>
      </c>
      <c r="J776" s="207">
        <f t="shared" si="42"/>
        <v>0.01476974840317637</v>
      </c>
    </row>
    <row r="777" spans="1:10" ht="12.75">
      <c r="A777" s="147">
        <f t="shared" si="41"/>
        <v>697</v>
      </c>
      <c r="B777" s="4">
        <v>4040</v>
      </c>
      <c r="C777" s="79" t="s">
        <v>28</v>
      </c>
      <c r="D777" s="25"/>
      <c r="E777" s="45">
        <v>5000</v>
      </c>
      <c r="F777" s="131">
        <v>59069</v>
      </c>
      <c r="G777" s="131">
        <v>59069</v>
      </c>
      <c r="H777" s="131">
        <v>71600</v>
      </c>
      <c r="I777" s="207">
        <f t="shared" si="40"/>
        <v>1.2121417325500685</v>
      </c>
      <c r="J777" s="207">
        <f t="shared" si="42"/>
        <v>0.0010689517696021713</v>
      </c>
    </row>
    <row r="778" spans="1:10" ht="12.75">
      <c r="A778" s="147">
        <f t="shared" si="41"/>
        <v>698</v>
      </c>
      <c r="B778" s="4">
        <v>4110</v>
      </c>
      <c r="C778" s="79" t="s">
        <v>32</v>
      </c>
      <c r="D778" s="25"/>
      <c r="E778" s="45">
        <v>12930</v>
      </c>
      <c r="F778" s="131">
        <v>127200</v>
      </c>
      <c r="G778" s="131">
        <v>127200</v>
      </c>
      <c r="H778" s="131">
        <v>163800</v>
      </c>
      <c r="I778" s="207">
        <f t="shared" si="40"/>
        <v>1.2877358490566038</v>
      </c>
      <c r="J778" s="207">
        <f t="shared" si="42"/>
        <v>0.0024454511153747995</v>
      </c>
    </row>
    <row r="779" spans="1:10" ht="12.75">
      <c r="A779" s="147">
        <f t="shared" si="41"/>
        <v>699</v>
      </c>
      <c r="B779" s="4">
        <v>4120</v>
      </c>
      <c r="C779" s="79" t="s">
        <v>33</v>
      </c>
      <c r="D779" s="25"/>
      <c r="E779" s="45">
        <v>1800</v>
      </c>
      <c r="F779" s="131">
        <v>21440</v>
      </c>
      <c r="G779" s="131">
        <v>21440</v>
      </c>
      <c r="H779" s="131">
        <v>26000</v>
      </c>
      <c r="I779" s="207">
        <f t="shared" si="40"/>
        <v>1.212686567164179</v>
      </c>
      <c r="J779" s="207">
        <f t="shared" si="42"/>
        <v>0.0003881668437102857</v>
      </c>
    </row>
    <row r="780" spans="1:10" ht="12.75">
      <c r="A780" s="147">
        <f t="shared" si="41"/>
        <v>700</v>
      </c>
      <c r="B780" s="4">
        <v>4140</v>
      </c>
      <c r="C780" s="79" t="s">
        <v>155</v>
      </c>
      <c r="D780" s="25"/>
      <c r="E780" s="45"/>
      <c r="F780" s="131">
        <v>8400</v>
      </c>
      <c r="G780" s="131">
        <v>8400</v>
      </c>
      <c r="H780" s="131">
        <v>10000</v>
      </c>
      <c r="I780" s="207">
        <f aca="true" t="shared" si="43" ref="I780:I843">H780/G780</f>
        <v>1.1904761904761905</v>
      </c>
      <c r="J780" s="207">
        <f t="shared" si="42"/>
        <v>0.00014929493988857142</v>
      </c>
    </row>
    <row r="781" spans="1:10" ht="12.75">
      <c r="A781" s="147">
        <f t="shared" si="41"/>
        <v>701</v>
      </c>
      <c r="B781" s="4">
        <v>4210</v>
      </c>
      <c r="C781" s="79" t="s">
        <v>132</v>
      </c>
      <c r="D781" s="25"/>
      <c r="E781" s="45"/>
      <c r="F781" s="131">
        <v>50200</v>
      </c>
      <c r="G781" s="131">
        <v>50200</v>
      </c>
      <c r="H781" s="131">
        <v>44500</v>
      </c>
      <c r="I781" s="207">
        <f t="shared" si="43"/>
        <v>0.8864541832669323</v>
      </c>
      <c r="J781" s="207">
        <f t="shared" si="42"/>
        <v>0.0006643624825041428</v>
      </c>
    </row>
    <row r="782" spans="1:10" ht="12.75">
      <c r="A782" s="147">
        <f t="shared" si="41"/>
        <v>702</v>
      </c>
      <c r="B782" s="4">
        <v>4220</v>
      </c>
      <c r="C782" s="79" t="s">
        <v>137</v>
      </c>
      <c r="D782" s="25"/>
      <c r="E782" s="45"/>
      <c r="F782" s="131">
        <v>128800</v>
      </c>
      <c r="G782" s="131">
        <v>128800</v>
      </c>
      <c r="H782" s="131">
        <v>190850</v>
      </c>
      <c r="I782" s="207">
        <f t="shared" si="43"/>
        <v>1.4817546583850931</v>
      </c>
      <c r="J782" s="207">
        <f t="shared" si="42"/>
        <v>0.002849293927773385</v>
      </c>
    </row>
    <row r="783" spans="1:10" ht="12.75">
      <c r="A783" s="147">
        <f t="shared" si="41"/>
        <v>703</v>
      </c>
      <c r="B783" s="4">
        <v>4240</v>
      </c>
      <c r="C783" s="79" t="s">
        <v>138</v>
      </c>
      <c r="D783" s="25"/>
      <c r="E783" s="45"/>
      <c r="F783" s="131"/>
      <c r="G783" s="131"/>
      <c r="H783" s="131"/>
      <c r="I783" s="207"/>
      <c r="J783" s="207"/>
    </row>
    <row r="784" spans="1:10" ht="12.75">
      <c r="A784" s="147">
        <f t="shared" si="41"/>
        <v>704</v>
      </c>
      <c r="B784" s="4"/>
      <c r="C784" s="79" t="s">
        <v>139</v>
      </c>
      <c r="D784" s="25"/>
      <c r="E784" s="45"/>
      <c r="F784" s="131">
        <v>15000</v>
      </c>
      <c r="G784" s="131">
        <v>15000</v>
      </c>
      <c r="H784" s="131">
        <v>15000</v>
      </c>
      <c r="I784" s="207">
        <f t="shared" si="43"/>
        <v>1</v>
      </c>
      <c r="J784" s="207">
        <f aca="true" t="shared" si="44" ref="J784:J789">H784/$H$1431</f>
        <v>0.0002239424098328571</v>
      </c>
    </row>
    <row r="785" spans="1:10" ht="12.75">
      <c r="A785" s="147">
        <f t="shared" si="41"/>
        <v>705</v>
      </c>
      <c r="B785" s="4">
        <v>4260</v>
      </c>
      <c r="C785" s="79" t="s">
        <v>134</v>
      </c>
      <c r="D785" s="25"/>
      <c r="E785" s="45"/>
      <c r="F785" s="131">
        <v>62853</v>
      </c>
      <c r="G785" s="131">
        <v>62853</v>
      </c>
      <c r="H785" s="131">
        <v>64600</v>
      </c>
      <c r="I785" s="207">
        <f t="shared" si="43"/>
        <v>1.0277950137622707</v>
      </c>
      <c r="J785" s="207">
        <f t="shared" si="44"/>
        <v>0.0009644453116801712</v>
      </c>
    </row>
    <row r="786" spans="1:10" ht="12.75">
      <c r="A786" s="147">
        <f t="shared" si="41"/>
        <v>706</v>
      </c>
      <c r="B786" s="4">
        <v>4270</v>
      </c>
      <c r="C786" s="79" t="s">
        <v>131</v>
      </c>
      <c r="D786" s="25"/>
      <c r="E786" s="45"/>
      <c r="F786" s="131">
        <v>29840</v>
      </c>
      <c r="G786" s="131">
        <v>29840</v>
      </c>
      <c r="H786" s="131">
        <v>62140</v>
      </c>
      <c r="I786" s="207">
        <f t="shared" si="43"/>
        <v>2.0824396782841825</v>
      </c>
      <c r="J786" s="207">
        <f t="shared" si="44"/>
        <v>0.0009277187564675827</v>
      </c>
    </row>
    <row r="787" spans="1:10" ht="12.75">
      <c r="A787" s="147">
        <f t="shared" si="41"/>
        <v>707</v>
      </c>
      <c r="B787" s="4">
        <v>4280</v>
      </c>
      <c r="C787" s="79" t="s">
        <v>252</v>
      </c>
      <c r="D787" s="25"/>
      <c r="E787" s="45"/>
      <c r="F787" s="131">
        <v>1200</v>
      </c>
      <c r="G787" s="131">
        <v>1200</v>
      </c>
      <c r="H787" s="131">
        <v>1500</v>
      </c>
      <c r="I787" s="207">
        <f t="shared" si="43"/>
        <v>1.25</v>
      </c>
      <c r="J787" s="207">
        <f t="shared" si="44"/>
        <v>2.239424098328571E-05</v>
      </c>
    </row>
    <row r="788" spans="1:10" ht="12.75">
      <c r="A788" s="147">
        <f t="shared" si="41"/>
        <v>708</v>
      </c>
      <c r="B788" s="4">
        <v>4300</v>
      </c>
      <c r="C788" s="79" t="s">
        <v>141</v>
      </c>
      <c r="D788" s="25"/>
      <c r="E788" s="45"/>
      <c r="F788" s="131">
        <v>17200</v>
      </c>
      <c r="G788" s="131">
        <v>17200</v>
      </c>
      <c r="H788" s="131">
        <v>17700</v>
      </c>
      <c r="I788" s="207">
        <f t="shared" si="43"/>
        <v>1.0290697674418605</v>
      </c>
      <c r="J788" s="207">
        <f t="shared" si="44"/>
        <v>0.0002642520436027714</v>
      </c>
    </row>
    <row r="789" spans="1:10" ht="12.75">
      <c r="A789" s="147">
        <f t="shared" si="41"/>
        <v>709</v>
      </c>
      <c r="B789" s="4">
        <v>4350</v>
      </c>
      <c r="C789" s="79" t="s">
        <v>287</v>
      </c>
      <c r="D789" s="25"/>
      <c r="E789" s="45"/>
      <c r="F789" s="131">
        <v>900</v>
      </c>
      <c r="G789" s="131">
        <v>900</v>
      </c>
      <c r="H789" s="131">
        <v>900</v>
      </c>
      <c r="I789" s="207">
        <f t="shared" si="43"/>
        <v>1</v>
      </c>
      <c r="J789" s="207">
        <f t="shared" si="44"/>
        <v>1.3436544589971427E-05</v>
      </c>
    </row>
    <row r="790" spans="1:10" ht="12.75">
      <c r="A790" s="147">
        <f t="shared" si="41"/>
        <v>710</v>
      </c>
      <c r="B790" s="4">
        <v>4370</v>
      </c>
      <c r="C790" s="79" t="s">
        <v>280</v>
      </c>
      <c r="D790" s="25"/>
      <c r="E790" s="45"/>
      <c r="F790" s="131"/>
      <c r="G790" s="131"/>
      <c r="H790" s="131"/>
      <c r="I790" s="207"/>
      <c r="J790" s="207"/>
    </row>
    <row r="791" spans="1:10" ht="12.75">
      <c r="A791" s="147">
        <f t="shared" si="41"/>
        <v>711</v>
      </c>
      <c r="B791" s="4"/>
      <c r="C791" s="79" t="s">
        <v>294</v>
      </c>
      <c r="D791" s="25"/>
      <c r="E791" s="45"/>
      <c r="F791" s="131">
        <v>6000</v>
      </c>
      <c r="G791" s="131">
        <v>6000</v>
      </c>
      <c r="H791" s="131">
        <v>6000</v>
      </c>
      <c r="I791" s="207">
        <f t="shared" si="43"/>
        <v>1</v>
      </c>
      <c r="J791" s="207">
        <f>H791/$H$1431</f>
        <v>8.957696393314284E-05</v>
      </c>
    </row>
    <row r="792" spans="1:10" ht="12.75">
      <c r="A792" s="147">
        <f aca="true" t="shared" si="45" ref="A792:A856">A791+1</f>
        <v>712</v>
      </c>
      <c r="B792" s="4">
        <v>4410</v>
      </c>
      <c r="C792" s="79" t="s">
        <v>29</v>
      </c>
      <c r="D792" s="25"/>
      <c r="E792" s="45"/>
      <c r="F792" s="131">
        <v>1200</v>
      </c>
      <c r="G792" s="131">
        <v>1200</v>
      </c>
      <c r="H792" s="131">
        <v>1500</v>
      </c>
      <c r="I792" s="207">
        <f t="shared" si="43"/>
        <v>1.25</v>
      </c>
      <c r="J792" s="207">
        <f>H792/$H$1431</f>
        <v>2.239424098328571E-05</v>
      </c>
    </row>
    <row r="793" spans="1:10" ht="12.75">
      <c r="A793" s="147">
        <f t="shared" si="45"/>
        <v>713</v>
      </c>
      <c r="B793" s="4">
        <v>4430</v>
      </c>
      <c r="C793" s="79" t="s">
        <v>39</v>
      </c>
      <c r="D793" s="25"/>
      <c r="E793" s="45"/>
      <c r="F793" s="131">
        <v>1280</v>
      </c>
      <c r="G793" s="131">
        <v>1280</v>
      </c>
      <c r="H793" s="131">
        <v>1280</v>
      </c>
      <c r="I793" s="207">
        <f t="shared" si="43"/>
        <v>1</v>
      </c>
      <c r="J793" s="207">
        <f>H793/$H$1431</f>
        <v>1.910975230573714E-05</v>
      </c>
    </row>
    <row r="794" spans="1:10" ht="12.75">
      <c r="A794" s="147">
        <f t="shared" si="45"/>
        <v>714</v>
      </c>
      <c r="B794" s="4">
        <v>4440</v>
      </c>
      <c r="C794" s="79" t="s">
        <v>42</v>
      </c>
      <c r="D794" s="25"/>
      <c r="E794" s="45">
        <v>4320</v>
      </c>
      <c r="F794" s="131">
        <v>43500</v>
      </c>
      <c r="G794" s="131">
        <v>43500</v>
      </c>
      <c r="H794" s="131">
        <v>48000</v>
      </c>
      <c r="I794" s="207">
        <f t="shared" si="43"/>
        <v>1.103448275862069</v>
      </c>
      <c r="J794" s="207">
        <f>H794/$H$1431</f>
        <v>0.0007166157114651427</v>
      </c>
    </row>
    <row r="795" spans="1:10" ht="12.75">
      <c r="A795" s="147">
        <f t="shared" si="45"/>
        <v>715</v>
      </c>
      <c r="B795" s="4">
        <v>4510</v>
      </c>
      <c r="C795" s="79" t="s">
        <v>493</v>
      </c>
      <c r="D795" s="25"/>
      <c r="E795" s="45"/>
      <c r="F795" s="131">
        <v>2534</v>
      </c>
      <c r="G795" s="131">
        <v>2534</v>
      </c>
      <c r="H795" s="131">
        <v>0</v>
      </c>
      <c r="I795" s="207">
        <f t="shared" si="43"/>
        <v>0</v>
      </c>
      <c r="J795" s="207">
        <f>H795/$H$1431</f>
        <v>0</v>
      </c>
    </row>
    <row r="796" spans="1:10" ht="12.75">
      <c r="A796" s="147">
        <f t="shared" si="45"/>
        <v>716</v>
      </c>
      <c r="B796" s="4">
        <v>4570</v>
      </c>
      <c r="C796" s="79" t="s">
        <v>514</v>
      </c>
      <c r="D796" s="25"/>
      <c r="E796" s="45"/>
      <c r="F796" s="131"/>
      <c r="G796" s="131"/>
      <c r="H796" s="131"/>
      <c r="I796" s="207"/>
      <c r="J796" s="207"/>
    </row>
    <row r="797" spans="1:10" ht="12.75">
      <c r="A797" s="147">
        <f t="shared" si="45"/>
        <v>717</v>
      </c>
      <c r="B797" s="4"/>
      <c r="C797" s="79" t="s">
        <v>515</v>
      </c>
      <c r="D797" s="25"/>
      <c r="E797" s="45"/>
      <c r="F797" s="131">
        <v>1213</v>
      </c>
      <c r="G797" s="131">
        <v>1213</v>
      </c>
      <c r="H797" s="131">
        <v>0</v>
      </c>
      <c r="I797" s="207">
        <f t="shared" si="43"/>
        <v>0</v>
      </c>
      <c r="J797" s="207">
        <f>H797/$H$1431</f>
        <v>0</v>
      </c>
    </row>
    <row r="798" spans="1:10" ht="12.75">
      <c r="A798" s="147">
        <f t="shared" si="45"/>
        <v>718</v>
      </c>
      <c r="B798" s="4">
        <v>4700</v>
      </c>
      <c r="C798" s="79" t="s">
        <v>297</v>
      </c>
      <c r="D798" s="25"/>
      <c r="E798" s="45"/>
      <c r="F798" s="131"/>
      <c r="G798" s="131"/>
      <c r="H798" s="131"/>
      <c r="I798" s="207"/>
      <c r="J798" s="207"/>
    </row>
    <row r="799" spans="1:10" ht="12.75">
      <c r="A799" s="147">
        <f t="shared" si="45"/>
        <v>719</v>
      </c>
      <c r="B799" s="4"/>
      <c r="C799" s="79" t="s">
        <v>296</v>
      </c>
      <c r="D799" s="25"/>
      <c r="E799" s="45"/>
      <c r="F799" s="131">
        <v>1200</v>
      </c>
      <c r="G799" s="131">
        <v>1200</v>
      </c>
      <c r="H799" s="131">
        <v>1200</v>
      </c>
      <c r="I799" s="207">
        <f t="shared" si="43"/>
        <v>1</v>
      </c>
      <c r="J799" s="207">
        <f>H799/$H$1431</f>
        <v>1.7915392786628567E-05</v>
      </c>
    </row>
    <row r="800" spans="1:10" ht="12.75">
      <c r="A800" s="147">
        <f t="shared" si="45"/>
        <v>720</v>
      </c>
      <c r="B800" s="4">
        <v>4740</v>
      </c>
      <c r="C800" s="79" t="s">
        <v>270</v>
      </c>
      <c r="D800" s="25"/>
      <c r="E800" s="45"/>
      <c r="F800" s="131"/>
      <c r="G800" s="131"/>
      <c r="H800" s="131"/>
      <c r="I800" s="207"/>
      <c r="J800" s="207"/>
    </row>
    <row r="801" spans="1:10" ht="12.75">
      <c r="A801" s="147">
        <f t="shared" si="45"/>
        <v>721</v>
      </c>
      <c r="B801" s="4"/>
      <c r="C801" s="79" t="s">
        <v>271</v>
      </c>
      <c r="D801" s="25"/>
      <c r="E801" s="45"/>
      <c r="F801" s="131">
        <v>800</v>
      </c>
      <c r="G801" s="131">
        <v>800</v>
      </c>
      <c r="H801" s="131">
        <v>800</v>
      </c>
      <c r="I801" s="207">
        <f t="shared" si="43"/>
        <v>1</v>
      </c>
      <c r="J801" s="207">
        <f>H801/$H$1431</f>
        <v>1.1943595191085713E-05</v>
      </c>
    </row>
    <row r="802" spans="1:10" ht="12.75">
      <c r="A802" s="147">
        <f t="shared" si="45"/>
        <v>722</v>
      </c>
      <c r="B802" s="4">
        <v>4750</v>
      </c>
      <c r="C802" s="79" t="s">
        <v>272</v>
      </c>
      <c r="D802" s="25"/>
      <c r="E802" s="45"/>
      <c r="F802" s="131"/>
      <c r="G802" s="131"/>
      <c r="H802" s="131"/>
      <c r="I802" s="207"/>
      <c r="J802" s="207"/>
    </row>
    <row r="803" spans="1:10" ht="12.75">
      <c r="A803" s="147">
        <f t="shared" si="45"/>
        <v>723</v>
      </c>
      <c r="B803" s="4"/>
      <c r="C803" s="79" t="s">
        <v>273</v>
      </c>
      <c r="D803" s="25"/>
      <c r="E803" s="45"/>
      <c r="F803" s="131">
        <v>1500</v>
      </c>
      <c r="G803" s="131">
        <v>1500</v>
      </c>
      <c r="H803" s="131">
        <v>1500</v>
      </c>
      <c r="I803" s="207">
        <f t="shared" si="43"/>
        <v>1</v>
      </c>
      <c r="J803" s="207">
        <f>H803/$H$1431</f>
        <v>2.239424098328571E-05</v>
      </c>
    </row>
    <row r="804" spans="1:10" ht="12.75">
      <c r="A804" s="147">
        <f t="shared" si="45"/>
        <v>724</v>
      </c>
      <c r="B804" s="4">
        <v>6050</v>
      </c>
      <c r="C804" s="79" t="s">
        <v>182</v>
      </c>
      <c r="D804" s="25"/>
      <c r="E804" s="45"/>
      <c r="F804" s="131">
        <f>SUM(F806:F808)</f>
        <v>0</v>
      </c>
      <c r="G804" s="131">
        <f>SUM(G806:G808)</f>
        <v>0</v>
      </c>
      <c r="H804" s="131">
        <f>SUM(H806:H808)</f>
        <v>295000</v>
      </c>
      <c r="I804" s="207"/>
      <c r="J804" s="207">
        <f>H804/$H$1431</f>
        <v>0.004404200726712856</v>
      </c>
    </row>
    <row r="805" spans="1:10" ht="12.75">
      <c r="A805" s="147">
        <f t="shared" si="45"/>
        <v>725</v>
      </c>
      <c r="B805" s="4"/>
      <c r="C805" s="79" t="s">
        <v>15</v>
      </c>
      <c r="D805" s="25"/>
      <c r="E805" s="45"/>
      <c r="F805" s="131"/>
      <c r="G805" s="131"/>
      <c r="H805" s="131"/>
      <c r="I805" s="207"/>
      <c r="J805" s="207"/>
    </row>
    <row r="806" spans="1:10" ht="12.75">
      <c r="A806" s="147">
        <f t="shared" si="45"/>
        <v>726</v>
      </c>
      <c r="B806" s="4"/>
      <c r="C806" s="79" t="s">
        <v>611</v>
      </c>
      <c r="D806" s="25"/>
      <c r="E806" s="45"/>
      <c r="F806" s="131">
        <v>0</v>
      </c>
      <c r="G806" s="131">
        <v>0</v>
      </c>
      <c r="H806" s="131">
        <v>65000</v>
      </c>
      <c r="I806" s="207"/>
      <c r="J806" s="207">
        <f aca="true" t="shared" si="46" ref="J806:J815">H806/$H$1431</f>
        <v>0.0009704171092757141</v>
      </c>
    </row>
    <row r="807" spans="1:10" ht="12.75">
      <c r="A807" s="147">
        <f t="shared" si="45"/>
        <v>727</v>
      </c>
      <c r="B807" s="4"/>
      <c r="C807" s="79" t="s">
        <v>612</v>
      </c>
      <c r="D807" s="25"/>
      <c r="E807" s="45"/>
      <c r="F807" s="131">
        <v>0</v>
      </c>
      <c r="G807" s="131">
        <v>0</v>
      </c>
      <c r="H807" s="131">
        <v>125000</v>
      </c>
      <c r="I807" s="207"/>
      <c r="J807" s="207">
        <f t="shared" si="46"/>
        <v>0.0018661867486071426</v>
      </c>
    </row>
    <row r="808" spans="1:10" ht="12.75">
      <c r="A808" s="147">
        <f t="shared" si="45"/>
        <v>728</v>
      </c>
      <c r="B808" s="4"/>
      <c r="C808" s="79" t="s">
        <v>613</v>
      </c>
      <c r="D808" s="25"/>
      <c r="E808" s="45"/>
      <c r="F808" s="131">
        <v>0</v>
      </c>
      <c r="G808" s="131">
        <v>0</v>
      </c>
      <c r="H808" s="131">
        <v>105000</v>
      </c>
      <c r="I808" s="207"/>
      <c r="J808" s="207">
        <f t="shared" si="46"/>
        <v>0.0015675968688299998</v>
      </c>
    </row>
    <row r="809" spans="1:10" s="29" customFormat="1" ht="12.75">
      <c r="A809" s="147">
        <f t="shared" si="45"/>
        <v>729</v>
      </c>
      <c r="B809" s="11">
        <v>80110</v>
      </c>
      <c r="C809" s="68" t="s">
        <v>169</v>
      </c>
      <c r="D809" s="26"/>
      <c r="E809" s="44">
        <f>SUM(E810:E847)</f>
        <v>1247500</v>
      </c>
      <c r="F809" s="26">
        <f>+F810+F811+F812+F813+F814+F815+F816+F817+F818+F821+F822+F823+F832+F833+F834+F836+F837+F838+F839+F840+F841+F843+F845+F847+F848+F857</f>
        <v>2027811.9100000001</v>
      </c>
      <c r="G809" s="26">
        <f>+G810+G811+G812+G813+G814+G815+G816+G817+G818+G821+G822+G823+G832+G833+G834+G836+G837+G838+G839+G840+G841+G843+G845+G847+G848+G857</f>
        <v>2022811.9100000001</v>
      </c>
      <c r="H809" s="26">
        <f>+H810+H811+H812+H813+H814+H815+H816+H817+H818+H821+H822+H823+H832+H833+H834+H836+H837+H838+H839+H840+H841+H843+H845+H847+H848+H857</f>
        <v>2740600</v>
      </c>
      <c r="I809" s="207">
        <f t="shared" si="43"/>
        <v>1.3548466797389975</v>
      </c>
      <c r="J809" s="207">
        <f t="shared" si="46"/>
        <v>0.04091577122586188</v>
      </c>
    </row>
    <row r="810" spans="1:10" ht="12.75">
      <c r="A810" s="147">
        <f t="shared" si="45"/>
        <v>730</v>
      </c>
      <c r="B810" s="4">
        <v>3020</v>
      </c>
      <c r="C810" s="79" t="s">
        <v>218</v>
      </c>
      <c r="D810" s="25"/>
      <c r="E810" s="46">
        <v>5600</v>
      </c>
      <c r="F810" s="131">
        <v>6600</v>
      </c>
      <c r="G810" s="131">
        <v>6600</v>
      </c>
      <c r="H810" s="131">
        <v>7400</v>
      </c>
      <c r="I810" s="207">
        <f t="shared" si="43"/>
        <v>1.121212121212121</v>
      </c>
      <c r="J810" s="207">
        <f t="shared" si="46"/>
        <v>0.00011047825551754284</v>
      </c>
    </row>
    <row r="811" spans="1:10" ht="12.75">
      <c r="A811" s="147">
        <f t="shared" si="45"/>
        <v>731</v>
      </c>
      <c r="B811" s="4">
        <v>3240</v>
      </c>
      <c r="C811" s="79" t="s">
        <v>232</v>
      </c>
      <c r="D811" s="25"/>
      <c r="E811" s="46"/>
      <c r="F811" s="131">
        <v>12700</v>
      </c>
      <c r="G811" s="131">
        <v>12700</v>
      </c>
      <c r="H811" s="131">
        <v>16300</v>
      </c>
      <c r="I811" s="207">
        <f t="shared" si="43"/>
        <v>1.2834645669291338</v>
      </c>
      <c r="J811" s="207">
        <f t="shared" si="46"/>
        <v>0.00024335075201837138</v>
      </c>
    </row>
    <row r="812" spans="1:10" ht="12.75">
      <c r="A812" s="147">
        <f t="shared" si="45"/>
        <v>732</v>
      </c>
      <c r="B812" s="4">
        <v>4010</v>
      </c>
      <c r="C812" s="79" t="s">
        <v>27</v>
      </c>
      <c r="D812" s="25"/>
      <c r="E812" s="46">
        <f>518900+4200+1000+5300+180400+5400+400+1000+4600</f>
        <v>721200</v>
      </c>
      <c r="F812" s="131">
        <v>1232821.47</v>
      </c>
      <c r="G812" s="131">
        <v>1232821.47</v>
      </c>
      <c r="H812" s="131">
        <v>1338000</v>
      </c>
      <c r="I812" s="207">
        <f t="shared" si="43"/>
        <v>1.085315297112728</v>
      </c>
      <c r="J812" s="207">
        <f t="shared" si="46"/>
        <v>0.019975662957090853</v>
      </c>
    </row>
    <row r="813" spans="1:10" ht="12.75">
      <c r="A813" s="147">
        <f t="shared" si="45"/>
        <v>733</v>
      </c>
      <c r="B813" s="4">
        <v>4040</v>
      </c>
      <c r="C813" s="79" t="s">
        <v>28</v>
      </c>
      <c r="D813" s="25"/>
      <c r="E813" s="46">
        <v>62900</v>
      </c>
      <c r="F813" s="131">
        <v>90548</v>
      </c>
      <c r="G813" s="131">
        <v>90548</v>
      </c>
      <c r="H813" s="131">
        <v>102600</v>
      </c>
      <c r="I813" s="207">
        <f t="shared" si="43"/>
        <v>1.1331006758846136</v>
      </c>
      <c r="J813" s="207">
        <f t="shared" si="46"/>
        <v>0.0015317660832567426</v>
      </c>
    </row>
    <row r="814" spans="1:10" ht="12.75">
      <c r="A814" s="147">
        <f t="shared" si="45"/>
        <v>734</v>
      </c>
      <c r="B814" s="4">
        <v>4110</v>
      </c>
      <c r="C814" s="79" t="s">
        <v>32</v>
      </c>
      <c r="D814" s="25"/>
      <c r="E814" s="46">
        <v>141000</v>
      </c>
      <c r="F814" s="131">
        <v>220914.86</v>
      </c>
      <c r="G814" s="131">
        <v>220914.86</v>
      </c>
      <c r="H814" s="131">
        <v>240500</v>
      </c>
      <c r="I814" s="207">
        <f t="shared" si="43"/>
        <v>1.0886546971081983</v>
      </c>
      <c r="J814" s="207">
        <f t="shared" si="46"/>
        <v>0.0035905433043201423</v>
      </c>
    </row>
    <row r="815" spans="1:10" ht="12.75">
      <c r="A815" s="147">
        <f t="shared" si="45"/>
        <v>735</v>
      </c>
      <c r="B815" s="4">
        <v>4120</v>
      </c>
      <c r="C815" s="79" t="s">
        <v>33</v>
      </c>
      <c r="D815" s="25"/>
      <c r="E815" s="46">
        <v>19400</v>
      </c>
      <c r="F815" s="131">
        <v>32075.58</v>
      </c>
      <c r="G815" s="131">
        <v>32075.58</v>
      </c>
      <c r="H815" s="131">
        <v>34200</v>
      </c>
      <c r="I815" s="207">
        <f t="shared" si="43"/>
        <v>1.066231694017692</v>
      </c>
      <c r="J815" s="207">
        <f t="shared" si="46"/>
        <v>0.0005105886944189142</v>
      </c>
    </row>
    <row r="816" spans="1:10" ht="12.75">
      <c r="A816" s="147">
        <f t="shared" si="45"/>
        <v>736</v>
      </c>
      <c r="B816" s="4">
        <v>4140</v>
      </c>
      <c r="C816" s="79" t="s">
        <v>155</v>
      </c>
      <c r="D816" s="25"/>
      <c r="E816" s="46"/>
      <c r="F816" s="131">
        <v>0</v>
      </c>
      <c r="G816" s="131">
        <v>0</v>
      </c>
      <c r="H816" s="131">
        <v>0</v>
      </c>
      <c r="I816" s="207"/>
      <c r="J816" s="207"/>
    </row>
    <row r="817" spans="1:10" ht="12.75">
      <c r="A817" s="147">
        <f t="shared" si="45"/>
        <v>737</v>
      </c>
      <c r="B817" s="4">
        <v>4170</v>
      </c>
      <c r="C817" s="79" t="s">
        <v>224</v>
      </c>
      <c r="D817" s="25"/>
      <c r="E817" s="46"/>
      <c r="F817" s="131">
        <v>1200</v>
      </c>
      <c r="G817" s="131">
        <v>1200</v>
      </c>
      <c r="H817" s="131">
        <v>1500</v>
      </c>
      <c r="I817" s="207">
        <f t="shared" si="43"/>
        <v>1.25</v>
      </c>
      <c r="J817" s="207">
        <f>H817/$H$1431</f>
        <v>2.239424098328571E-05</v>
      </c>
    </row>
    <row r="818" spans="1:10" ht="12.75">
      <c r="A818" s="147">
        <f t="shared" si="45"/>
        <v>738</v>
      </c>
      <c r="B818" s="4">
        <v>4210</v>
      </c>
      <c r="C818" s="79" t="s">
        <v>140</v>
      </c>
      <c r="D818" s="25"/>
      <c r="E818" s="46">
        <f>74900-6000-12000-3000-7200-11000-1800</f>
        <v>33900</v>
      </c>
      <c r="F818" s="131">
        <v>77000</v>
      </c>
      <c r="G818" s="131">
        <v>77000</v>
      </c>
      <c r="H818" s="131">
        <v>77000</v>
      </c>
      <c r="I818" s="207">
        <f t="shared" si="43"/>
        <v>1</v>
      </c>
      <c r="J818" s="207">
        <f>H818/$H$1431</f>
        <v>0.0011495710371419998</v>
      </c>
    </row>
    <row r="819" spans="1:10" ht="12.75">
      <c r="A819" s="147"/>
      <c r="B819" s="4"/>
      <c r="C819" s="79"/>
      <c r="D819" s="25"/>
      <c r="E819" s="46"/>
      <c r="F819" s="131"/>
      <c r="G819" s="131"/>
      <c r="H819" s="131"/>
      <c r="I819" s="207"/>
      <c r="J819" s="207"/>
    </row>
    <row r="820" spans="1:10" ht="12.75">
      <c r="A820" s="147">
        <f>A818+1</f>
        <v>739</v>
      </c>
      <c r="B820" s="4">
        <v>4240</v>
      </c>
      <c r="C820" s="79" t="s">
        <v>138</v>
      </c>
      <c r="D820" s="25"/>
      <c r="E820" s="46"/>
      <c r="F820" s="131"/>
      <c r="G820" s="131"/>
      <c r="H820" s="131"/>
      <c r="I820" s="207"/>
      <c r="J820" s="207"/>
    </row>
    <row r="821" spans="1:10" ht="12.75">
      <c r="A821" s="147">
        <f t="shared" si="45"/>
        <v>740</v>
      </c>
      <c r="B821" s="4"/>
      <c r="C821" s="79" t="s">
        <v>139</v>
      </c>
      <c r="D821" s="25"/>
      <c r="E821" s="46">
        <v>13500</v>
      </c>
      <c r="F821" s="131">
        <v>12000</v>
      </c>
      <c r="G821" s="131">
        <v>12000</v>
      </c>
      <c r="H821" s="131">
        <v>15000</v>
      </c>
      <c r="I821" s="207">
        <f t="shared" si="43"/>
        <v>1.25</v>
      </c>
      <c r="J821" s="207">
        <f>H821/$H$1431</f>
        <v>0.0002239424098328571</v>
      </c>
    </row>
    <row r="822" spans="1:10" ht="12.75">
      <c r="A822" s="147">
        <f t="shared" si="45"/>
        <v>741</v>
      </c>
      <c r="B822" s="4">
        <v>4260</v>
      </c>
      <c r="C822" s="79" t="s">
        <v>134</v>
      </c>
      <c r="D822" s="25"/>
      <c r="E822" s="46">
        <v>59000</v>
      </c>
      <c r="F822" s="131">
        <v>74200</v>
      </c>
      <c r="G822" s="131">
        <v>74200</v>
      </c>
      <c r="H822" s="131">
        <v>87000</v>
      </c>
      <c r="I822" s="207">
        <f t="shared" si="43"/>
        <v>1.1725067385444743</v>
      </c>
      <c r="J822" s="207">
        <f>H822/$H$1431</f>
        <v>0.0012988659770305712</v>
      </c>
    </row>
    <row r="823" spans="1:10" ht="12.75">
      <c r="A823" s="147">
        <f t="shared" si="45"/>
        <v>742</v>
      </c>
      <c r="B823" s="4">
        <v>4270</v>
      </c>
      <c r="C823" s="79" t="s">
        <v>131</v>
      </c>
      <c r="D823" s="25"/>
      <c r="E823" s="46">
        <v>64000</v>
      </c>
      <c r="F823" s="131">
        <f>SUM(F825:F831)</f>
        <v>82000</v>
      </c>
      <c r="G823" s="131">
        <f>SUM(G825:G831)</f>
        <v>82000</v>
      </c>
      <c r="H823" s="131">
        <f>SUM(H825:H831)</f>
        <v>245000</v>
      </c>
      <c r="I823" s="207">
        <f t="shared" si="43"/>
        <v>2.9878048780487805</v>
      </c>
      <c r="J823" s="207">
        <f>H823/$H$1431</f>
        <v>0.0036577260272699992</v>
      </c>
    </row>
    <row r="824" spans="1:10" ht="12.75">
      <c r="A824" s="147">
        <f t="shared" si="45"/>
        <v>743</v>
      </c>
      <c r="B824" s="4"/>
      <c r="C824" s="79" t="s">
        <v>15</v>
      </c>
      <c r="D824" s="25"/>
      <c r="E824" s="46"/>
      <c r="F824" s="131"/>
      <c r="G824" s="131"/>
      <c r="H824" s="131"/>
      <c r="I824" s="207"/>
      <c r="J824" s="207"/>
    </row>
    <row r="825" spans="1:10" ht="12.75">
      <c r="A825" s="147">
        <f t="shared" si="45"/>
        <v>744</v>
      </c>
      <c r="B825" s="4"/>
      <c r="C825" s="79" t="s">
        <v>647</v>
      </c>
      <c r="D825" s="25"/>
      <c r="E825" s="46"/>
      <c r="F825" s="131">
        <v>82000</v>
      </c>
      <c r="G825" s="131">
        <v>82000</v>
      </c>
      <c r="H825" s="131">
        <v>0</v>
      </c>
      <c r="I825" s="207">
        <f t="shared" si="43"/>
        <v>0</v>
      </c>
      <c r="J825" s="207">
        <f aca="true" t="shared" si="47" ref="J825:J831">H825/$H$1431</f>
        <v>0</v>
      </c>
    </row>
    <row r="826" spans="1:10" ht="12.75">
      <c r="A826" s="147">
        <f t="shared" si="45"/>
        <v>745</v>
      </c>
      <c r="B826" s="4"/>
      <c r="C826" s="79" t="s">
        <v>641</v>
      </c>
      <c r="D826" s="25"/>
      <c r="E826" s="46"/>
      <c r="F826" s="131"/>
      <c r="G826" s="131"/>
      <c r="H826" s="131"/>
      <c r="I826" s="207"/>
      <c r="J826" s="207">
        <f t="shared" si="47"/>
        <v>0</v>
      </c>
    </row>
    <row r="827" spans="1:10" ht="12.75">
      <c r="A827" s="147">
        <f t="shared" si="45"/>
        <v>746</v>
      </c>
      <c r="B827" s="4"/>
      <c r="C827" s="79" t="s">
        <v>642</v>
      </c>
      <c r="D827" s="25"/>
      <c r="E827" s="46"/>
      <c r="F827" s="131">
        <v>0</v>
      </c>
      <c r="G827" s="131">
        <v>0</v>
      </c>
      <c r="H827" s="131">
        <f>25000+10000</f>
        <v>35000</v>
      </c>
      <c r="I827" s="207"/>
      <c r="J827" s="207">
        <f t="shared" si="47"/>
        <v>0.00052253228961</v>
      </c>
    </row>
    <row r="828" spans="1:10" ht="12.75">
      <c r="A828" s="147">
        <f t="shared" si="45"/>
        <v>747</v>
      </c>
      <c r="B828" s="4"/>
      <c r="C828" s="79" t="s">
        <v>643</v>
      </c>
      <c r="D828" s="25"/>
      <c r="E828" s="46"/>
      <c r="F828" s="131"/>
      <c r="G828" s="131"/>
      <c r="H828" s="131"/>
      <c r="I828" s="207"/>
      <c r="J828" s="207">
        <f t="shared" si="47"/>
        <v>0</v>
      </c>
    </row>
    <row r="829" spans="1:10" ht="12.75">
      <c r="A829" s="147">
        <f t="shared" si="45"/>
        <v>748</v>
      </c>
      <c r="B829" s="4"/>
      <c r="C829" s="79" t="s">
        <v>644</v>
      </c>
      <c r="D829" s="25"/>
      <c r="E829" s="46"/>
      <c r="F829" s="131">
        <v>0</v>
      </c>
      <c r="G829" s="131">
        <v>0</v>
      </c>
      <c r="H829" s="131">
        <v>25000</v>
      </c>
      <c r="I829" s="207"/>
      <c r="J829" s="207">
        <f t="shared" si="47"/>
        <v>0.0003732373497214285</v>
      </c>
    </row>
    <row r="830" spans="1:10" ht="12.75">
      <c r="A830" s="147">
        <f t="shared" si="45"/>
        <v>749</v>
      </c>
      <c r="B830" s="4"/>
      <c r="C830" s="79" t="s">
        <v>645</v>
      </c>
      <c r="D830" s="25"/>
      <c r="E830" s="46"/>
      <c r="F830" s="131">
        <v>0</v>
      </c>
      <c r="G830" s="131">
        <v>0</v>
      </c>
      <c r="H830" s="131">
        <v>5000</v>
      </c>
      <c r="I830" s="207"/>
      <c r="J830" s="207">
        <f t="shared" si="47"/>
        <v>7.464746994428571E-05</v>
      </c>
    </row>
    <row r="831" spans="1:10" ht="12.75">
      <c r="A831" s="147">
        <f t="shared" si="45"/>
        <v>750</v>
      </c>
      <c r="B831" s="4"/>
      <c r="C831" s="103" t="s">
        <v>646</v>
      </c>
      <c r="D831" s="25"/>
      <c r="E831" s="46"/>
      <c r="F831" s="131">
        <v>0</v>
      </c>
      <c r="G831" s="131">
        <v>0</v>
      </c>
      <c r="H831" s="131">
        <v>180000</v>
      </c>
      <c r="I831" s="207"/>
      <c r="J831" s="207">
        <f t="shared" si="47"/>
        <v>0.0026873089179942854</v>
      </c>
    </row>
    <row r="832" spans="1:10" ht="12.75">
      <c r="A832" s="147">
        <f t="shared" si="45"/>
        <v>751</v>
      </c>
      <c r="B832" s="4">
        <v>4280</v>
      </c>
      <c r="C832" s="79" t="s">
        <v>252</v>
      </c>
      <c r="D832" s="25"/>
      <c r="E832" s="46"/>
      <c r="F832" s="131">
        <v>2500</v>
      </c>
      <c r="G832" s="131">
        <v>2500</v>
      </c>
      <c r="H832" s="131">
        <v>2500</v>
      </c>
      <c r="I832" s="207">
        <f t="shared" si="43"/>
        <v>1</v>
      </c>
      <c r="J832" s="207">
        <f>H832/$H$1431</f>
        <v>3.7323734972142854E-05</v>
      </c>
    </row>
    <row r="833" spans="1:10" ht="12.75">
      <c r="A833" s="147">
        <f t="shared" si="45"/>
        <v>752</v>
      </c>
      <c r="B833" s="4">
        <v>4300</v>
      </c>
      <c r="C833" s="79" t="s">
        <v>130</v>
      </c>
      <c r="D833" s="25"/>
      <c r="E833" s="46">
        <v>74900</v>
      </c>
      <c r="F833" s="131">
        <v>53000</v>
      </c>
      <c r="G833" s="131">
        <v>53000</v>
      </c>
      <c r="H833" s="131">
        <v>57000</v>
      </c>
      <c r="I833" s="207">
        <f t="shared" si="43"/>
        <v>1.0754716981132075</v>
      </c>
      <c r="J833" s="207">
        <f>H833/$H$1431</f>
        <v>0.000850981157364857</v>
      </c>
    </row>
    <row r="834" spans="1:10" ht="12.75">
      <c r="A834" s="147">
        <f t="shared" si="45"/>
        <v>753</v>
      </c>
      <c r="B834" s="4">
        <v>4350</v>
      </c>
      <c r="C834" s="79" t="s">
        <v>287</v>
      </c>
      <c r="D834" s="25"/>
      <c r="E834" s="46"/>
      <c r="F834" s="131">
        <v>2000</v>
      </c>
      <c r="G834" s="131">
        <v>2000</v>
      </c>
      <c r="H834" s="131">
        <v>4500</v>
      </c>
      <c r="I834" s="207">
        <f t="shared" si="43"/>
        <v>2.25</v>
      </c>
      <c r="J834" s="207">
        <f>H834/$H$1431</f>
        <v>6.718272294985713E-05</v>
      </c>
    </row>
    <row r="835" spans="1:10" ht="12.75">
      <c r="A835" s="147">
        <f t="shared" si="45"/>
        <v>754</v>
      </c>
      <c r="B835" s="4">
        <v>4370</v>
      </c>
      <c r="C835" s="79" t="s">
        <v>280</v>
      </c>
      <c r="D835" s="25"/>
      <c r="E835" s="46"/>
      <c r="F835" s="131"/>
      <c r="G835" s="131"/>
      <c r="H835" s="131"/>
      <c r="I835" s="207"/>
      <c r="J835" s="207"/>
    </row>
    <row r="836" spans="1:10" ht="12.75">
      <c r="A836" s="147">
        <f t="shared" si="45"/>
        <v>755</v>
      </c>
      <c r="B836" s="4"/>
      <c r="C836" s="79" t="s">
        <v>294</v>
      </c>
      <c r="D836" s="25"/>
      <c r="E836" s="46"/>
      <c r="F836" s="131">
        <v>15000</v>
      </c>
      <c r="G836" s="131">
        <v>15000</v>
      </c>
      <c r="H836" s="131">
        <v>10000</v>
      </c>
      <c r="I836" s="207">
        <f t="shared" si="43"/>
        <v>0.6666666666666666</v>
      </c>
      <c r="J836" s="207">
        <f aca="true" t="shared" si="48" ref="J836:J841">H836/$H$1431</f>
        <v>0.00014929493988857142</v>
      </c>
    </row>
    <row r="837" spans="1:10" ht="12.75">
      <c r="A837" s="147">
        <f t="shared" si="45"/>
        <v>756</v>
      </c>
      <c r="B837" s="4">
        <v>4410</v>
      </c>
      <c r="C837" s="79" t="s">
        <v>29</v>
      </c>
      <c r="D837" s="25"/>
      <c r="E837" s="46">
        <v>7000</v>
      </c>
      <c r="F837" s="131">
        <v>8000</v>
      </c>
      <c r="G837" s="131">
        <v>8000</v>
      </c>
      <c r="H837" s="131">
        <v>8000</v>
      </c>
      <c r="I837" s="207">
        <f t="shared" si="43"/>
        <v>1</v>
      </c>
      <c r="J837" s="207">
        <f t="shared" si="48"/>
        <v>0.00011943595191085713</v>
      </c>
    </row>
    <row r="838" spans="1:10" ht="12.75">
      <c r="A838" s="147">
        <f t="shared" si="45"/>
        <v>757</v>
      </c>
      <c r="B838" s="4">
        <v>4420</v>
      </c>
      <c r="C838" s="79" t="s">
        <v>614</v>
      </c>
      <c r="D838" s="25"/>
      <c r="E838" s="46"/>
      <c r="F838" s="131">
        <v>0</v>
      </c>
      <c r="G838" s="131">
        <v>0</v>
      </c>
      <c r="H838" s="131">
        <v>2000</v>
      </c>
      <c r="I838" s="207"/>
      <c r="J838" s="207">
        <f t="shared" si="48"/>
        <v>2.9858987977714282E-05</v>
      </c>
    </row>
    <row r="839" spans="1:10" ht="12.75">
      <c r="A839" s="147">
        <f t="shared" si="45"/>
        <v>758</v>
      </c>
      <c r="B839" s="4">
        <v>4430</v>
      </c>
      <c r="C839" s="79" t="s">
        <v>39</v>
      </c>
      <c r="D839" s="25"/>
      <c r="E839" s="46">
        <v>2000</v>
      </c>
      <c r="F839" s="131">
        <v>4000</v>
      </c>
      <c r="G839" s="131">
        <v>4000</v>
      </c>
      <c r="H839" s="131">
        <v>4300</v>
      </c>
      <c r="I839" s="207">
        <f t="shared" si="43"/>
        <v>1.075</v>
      </c>
      <c r="J839" s="207">
        <f t="shared" si="48"/>
        <v>6.419682415208571E-05</v>
      </c>
    </row>
    <row r="840" spans="1:10" ht="12.75">
      <c r="A840" s="147">
        <f t="shared" si="45"/>
        <v>759</v>
      </c>
      <c r="B840" s="4">
        <v>4440</v>
      </c>
      <c r="C840" s="79" t="s">
        <v>437</v>
      </c>
      <c r="D840" s="25"/>
      <c r="E840" s="46">
        <v>43100</v>
      </c>
      <c r="F840" s="131">
        <v>72000</v>
      </c>
      <c r="G840" s="131">
        <v>72000</v>
      </c>
      <c r="H840" s="131">
        <v>78500</v>
      </c>
      <c r="I840" s="207">
        <f t="shared" si="43"/>
        <v>1.0902777777777777</v>
      </c>
      <c r="J840" s="207">
        <f t="shared" si="48"/>
        <v>0.0011719652781252855</v>
      </c>
    </row>
    <row r="841" spans="1:10" ht="12.75">
      <c r="A841" s="147">
        <f t="shared" si="45"/>
        <v>760</v>
      </c>
      <c r="B841" s="4">
        <v>4480</v>
      </c>
      <c r="C841" s="79" t="s">
        <v>516</v>
      </c>
      <c r="D841" s="25"/>
      <c r="E841" s="46"/>
      <c r="F841" s="131">
        <v>2252</v>
      </c>
      <c r="G841" s="131">
        <v>2252</v>
      </c>
      <c r="H841" s="131">
        <v>300</v>
      </c>
      <c r="I841" s="207">
        <f t="shared" si="43"/>
        <v>0.13321492007104796</v>
      </c>
      <c r="J841" s="207">
        <f t="shared" si="48"/>
        <v>4.478848196657142E-06</v>
      </c>
    </row>
    <row r="842" spans="1:10" ht="12.75">
      <c r="A842" s="147">
        <f t="shared" si="45"/>
        <v>761</v>
      </c>
      <c r="B842" s="4">
        <v>4700</v>
      </c>
      <c r="C842" s="79" t="s">
        <v>297</v>
      </c>
      <c r="D842" s="25"/>
      <c r="E842" s="46"/>
      <c r="F842" s="131"/>
      <c r="G842" s="131"/>
      <c r="H842" s="131"/>
      <c r="I842" s="207"/>
      <c r="J842" s="207"/>
    </row>
    <row r="843" spans="1:10" ht="12.75">
      <c r="A843" s="147">
        <f t="shared" si="45"/>
        <v>762</v>
      </c>
      <c r="B843" s="4"/>
      <c r="C843" s="79" t="s">
        <v>296</v>
      </c>
      <c r="D843" s="25"/>
      <c r="E843" s="46"/>
      <c r="F843" s="131">
        <v>6000</v>
      </c>
      <c r="G843" s="131">
        <v>6000</v>
      </c>
      <c r="H843" s="131">
        <v>6000</v>
      </c>
      <c r="I843" s="207">
        <f t="shared" si="43"/>
        <v>1</v>
      </c>
      <c r="J843" s="207">
        <f>H843/$H$1431</f>
        <v>8.957696393314284E-05</v>
      </c>
    </row>
    <row r="844" spans="1:10" ht="12.75">
      <c r="A844" s="147">
        <f t="shared" si="45"/>
        <v>763</v>
      </c>
      <c r="B844" s="4">
        <v>4740</v>
      </c>
      <c r="C844" s="79" t="s">
        <v>270</v>
      </c>
      <c r="D844" s="25"/>
      <c r="E844" s="46"/>
      <c r="F844" s="131"/>
      <c r="G844" s="131"/>
      <c r="H844" s="131"/>
      <c r="I844" s="207"/>
      <c r="J844" s="207"/>
    </row>
    <row r="845" spans="1:10" ht="12.75">
      <c r="A845" s="147">
        <f t="shared" si="45"/>
        <v>764</v>
      </c>
      <c r="B845" s="4"/>
      <c r="C845" s="79" t="s">
        <v>271</v>
      </c>
      <c r="D845" s="25"/>
      <c r="E845" s="46"/>
      <c r="F845" s="131">
        <v>5000</v>
      </c>
      <c r="G845" s="131">
        <v>5000</v>
      </c>
      <c r="H845" s="131">
        <v>5000</v>
      </c>
      <c r="I845" s="207">
        <f aca="true" t="shared" si="49" ref="I845:I908">H845/G845</f>
        <v>1</v>
      </c>
      <c r="J845" s="207">
        <f>H845/$H$1431</f>
        <v>7.464746994428571E-05</v>
      </c>
    </row>
    <row r="846" spans="1:10" ht="12.75">
      <c r="A846" s="147">
        <f t="shared" si="45"/>
        <v>765</v>
      </c>
      <c r="B846" s="4">
        <v>4750</v>
      </c>
      <c r="C846" s="79" t="s">
        <v>272</v>
      </c>
      <c r="D846" s="25"/>
      <c r="E846" s="46"/>
      <c r="F846" s="131"/>
      <c r="G846" s="131"/>
      <c r="H846" s="131"/>
      <c r="I846" s="207"/>
      <c r="J846" s="207"/>
    </row>
    <row r="847" spans="1:10" ht="12.75">
      <c r="A847" s="147">
        <f t="shared" si="45"/>
        <v>766</v>
      </c>
      <c r="B847" s="4"/>
      <c r="C847" s="79" t="s">
        <v>273</v>
      </c>
      <c r="D847" s="25"/>
      <c r="E847" s="46"/>
      <c r="F847" s="131">
        <v>11000</v>
      </c>
      <c r="G847" s="131">
        <v>11000</v>
      </c>
      <c r="H847" s="131">
        <v>12000</v>
      </c>
      <c r="I847" s="207">
        <f t="shared" si="49"/>
        <v>1.0909090909090908</v>
      </c>
      <c r="J847" s="207">
        <f>H847/$H$1431</f>
        <v>0.0001791539278662857</v>
      </c>
    </row>
    <row r="848" spans="1:10" ht="12.75">
      <c r="A848" s="147">
        <f t="shared" si="45"/>
        <v>767</v>
      </c>
      <c r="B848" s="4">
        <v>6050</v>
      </c>
      <c r="C848" s="79" t="s">
        <v>182</v>
      </c>
      <c r="D848" s="25"/>
      <c r="E848" s="46"/>
      <c r="F848" s="131">
        <f>SUM(F850:F856)</f>
        <v>0</v>
      </c>
      <c r="G848" s="131">
        <f>SUM(G850:G856)</f>
        <v>0</v>
      </c>
      <c r="H848" s="131">
        <f>SUM(H850:H856)</f>
        <v>364000</v>
      </c>
      <c r="I848" s="207"/>
      <c r="J848" s="207">
        <f>H848/$H$1431</f>
        <v>0.005434335811943999</v>
      </c>
    </row>
    <row r="849" spans="1:10" ht="12.75">
      <c r="A849" s="147">
        <f t="shared" si="45"/>
        <v>768</v>
      </c>
      <c r="B849" s="4"/>
      <c r="C849" s="79" t="s">
        <v>15</v>
      </c>
      <c r="D849" s="25"/>
      <c r="E849" s="46"/>
      <c r="F849" s="131"/>
      <c r="G849" s="131"/>
      <c r="H849" s="131"/>
      <c r="I849" s="207"/>
      <c r="J849" s="207"/>
    </row>
    <row r="850" spans="1:10" ht="12.75">
      <c r="A850" s="147">
        <f t="shared" si="45"/>
        <v>769</v>
      </c>
      <c r="B850" s="4"/>
      <c r="C850" s="79" t="s">
        <v>651</v>
      </c>
      <c r="D850" s="25"/>
      <c r="E850" s="46"/>
      <c r="F850" s="131"/>
      <c r="G850" s="131"/>
      <c r="H850" s="131"/>
      <c r="I850" s="207"/>
      <c r="J850" s="207"/>
    </row>
    <row r="851" spans="1:10" ht="12.75">
      <c r="A851" s="147">
        <f t="shared" si="45"/>
        <v>770</v>
      </c>
      <c r="B851" s="4"/>
      <c r="C851" s="79" t="s">
        <v>648</v>
      </c>
      <c r="D851" s="25"/>
      <c r="E851" s="46"/>
      <c r="F851" s="131">
        <v>0</v>
      </c>
      <c r="G851" s="131">
        <v>0</v>
      </c>
      <c r="H851" s="131">
        <v>4000</v>
      </c>
      <c r="I851" s="207"/>
      <c r="J851" s="207">
        <f>H851/$H$1431</f>
        <v>5.9717975955428565E-05</v>
      </c>
    </row>
    <row r="852" spans="1:10" ht="12.75">
      <c r="A852" s="147">
        <f t="shared" si="45"/>
        <v>771</v>
      </c>
      <c r="B852" s="4"/>
      <c r="C852" s="79" t="s">
        <v>649</v>
      </c>
      <c r="D852" s="25"/>
      <c r="E852" s="46"/>
      <c r="F852" s="131"/>
      <c r="G852" s="131"/>
      <c r="H852" s="131"/>
      <c r="I852" s="207"/>
      <c r="J852" s="207"/>
    </row>
    <row r="853" spans="1:10" ht="12.75">
      <c r="A853" s="147">
        <f t="shared" si="45"/>
        <v>772</v>
      </c>
      <c r="B853" s="4"/>
      <c r="C853" s="79" t="s">
        <v>650</v>
      </c>
      <c r="D853" s="25"/>
      <c r="E853" s="46"/>
      <c r="F853" s="131">
        <v>0</v>
      </c>
      <c r="G853" s="131">
        <v>0</v>
      </c>
      <c r="H853" s="131">
        <v>100000</v>
      </c>
      <c r="I853" s="207"/>
      <c r="J853" s="207">
        <f aca="true" t="shared" si="50" ref="J853:J858">H853/$H$1431</f>
        <v>0.001492949398885714</v>
      </c>
    </row>
    <row r="854" spans="1:10" ht="12.75">
      <c r="A854" s="147">
        <f t="shared" si="45"/>
        <v>773</v>
      </c>
      <c r="B854" s="4"/>
      <c r="C854" s="79" t="s">
        <v>652</v>
      </c>
      <c r="D854" s="25"/>
      <c r="E854" s="46"/>
      <c r="F854" s="131">
        <v>0</v>
      </c>
      <c r="G854" s="131">
        <v>0</v>
      </c>
      <c r="H854" s="131">
        <v>30000</v>
      </c>
      <c r="I854" s="207"/>
      <c r="J854" s="207">
        <f t="shared" si="50"/>
        <v>0.0004478848196657142</v>
      </c>
    </row>
    <row r="855" spans="1:10" ht="12.75">
      <c r="A855" s="147">
        <f t="shared" si="45"/>
        <v>774</v>
      </c>
      <c r="B855" s="4"/>
      <c r="C855" s="103" t="s">
        <v>653</v>
      </c>
      <c r="D855" s="25"/>
      <c r="E855" s="46"/>
      <c r="F855" s="131">
        <v>0</v>
      </c>
      <c r="G855" s="131">
        <v>0</v>
      </c>
      <c r="H855" s="131">
        <v>80000</v>
      </c>
      <c r="I855" s="207"/>
      <c r="J855" s="207">
        <f t="shared" si="50"/>
        <v>0.0011943595191085713</v>
      </c>
    </row>
    <row r="856" spans="1:10" ht="12.75">
      <c r="A856" s="147">
        <f t="shared" si="45"/>
        <v>775</v>
      </c>
      <c r="B856" s="4"/>
      <c r="C856" s="103" t="s">
        <v>721</v>
      </c>
      <c r="D856" s="25"/>
      <c r="E856" s="46"/>
      <c r="F856" s="131">
        <v>0</v>
      </c>
      <c r="G856" s="131">
        <v>0</v>
      </c>
      <c r="H856" s="131">
        <v>150000</v>
      </c>
      <c r="I856" s="207"/>
      <c r="J856" s="207">
        <f t="shared" si="50"/>
        <v>0.0022394240983285713</v>
      </c>
    </row>
    <row r="857" spans="1:10" ht="12.75">
      <c r="A857" s="147">
        <f aca="true" t="shared" si="51" ref="A857:A920">A856+1</f>
        <v>776</v>
      </c>
      <c r="B857" s="4">
        <v>6060</v>
      </c>
      <c r="C857" s="79" t="s">
        <v>357</v>
      </c>
      <c r="D857" s="25"/>
      <c r="E857" s="46"/>
      <c r="F857" s="131">
        <v>5000</v>
      </c>
      <c r="G857" s="131">
        <v>0</v>
      </c>
      <c r="H857" s="131">
        <v>22000</v>
      </c>
      <c r="I857" s="207"/>
      <c r="J857" s="207">
        <f t="shared" si="50"/>
        <v>0.0003284488677548571</v>
      </c>
    </row>
    <row r="858" spans="1:10" s="29" customFormat="1" ht="12.75">
      <c r="A858" s="147">
        <f t="shared" si="51"/>
        <v>777</v>
      </c>
      <c r="B858" s="11">
        <v>80113</v>
      </c>
      <c r="C858" s="68" t="s">
        <v>43</v>
      </c>
      <c r="D858" s="26"/>
      <c r="E858" s="44">
        <f>E861</f>
        <v>81000</v>
      </c>
      <c r="F858" s="26">
        <f>SUM(F860:F861)</f>
        <v>96950</v>
      </c>
      <c r="G858" s="26">
        <f>SUM(G860:G861)</f>
        <v>96950</v>
      </c>
      <c r="H858" s="26">
        <f>SUM(H860:H861)</f>
        <v>96730</v>
      </c>
      <c r="I858" s="207">
        <f t="shared" si="49"/>
        <v>0.9977307890665291</v>
      </c>
      <c r="J858" s="207">
        <f t="shared" si="50"/>
        <v>0.0014441299535421512</v>
      </c>
    </row>
    <row r="859" spans="1:10" s="60" customFormat="1" ht="12.75">
      <c r="A859" s="147">
        <f t="shared" si="51"/>
        <v>778</v>
      </c>
      <c r="B859" s="102">
        <v>2820</v>
      </c>
      <c r="C859" s="79" t="s">
        <v>243</v>
      </c>
      <c r="D859" s="84"/>
      <c r="E859" s="83"/>
      <c r="F859" s="136"/>
      <c r="G859" s="136"/>
      <c r="H859" s="136"/>
      <c r="I859" s="207"/>
      <c r="J859" s="207"/>
    </row>
    <row r="860" spans="1:10" s="60" customFormat="1" ht="12.75">
      <c r="A860" s="147">
        <f t="shared" si="51"/>
        <v>779</v>
      </c>
      <c r="B860" s="102"/>
      <c r="C860" s="103" t="s">
        <v>244</v>
      </c>
      <c r="D860" s="84"/>
      <c r="E860" s="83"/>
      <c r="F860" s="136">
        <v>22930</v>
      </c>
      <c r="G860" s="136">
        <v>22930</v>
      </c>
      <c r="H860" s="136">
        <v>25000</v>
      </c>
      <c r="I860" s="207">
        <f t="shared" si="49"/>
        <v>1.0902747492368077</v>
      </c>
      <c r="J860" s="207">
        <f>H860/$H$1431</f>
        <v>0.0003732373497214285</v>
      </c>
    </row>
    <row r="861" spans="1:10" ht="12.75">
      <c r="A861" s="147">
        <f t="shared" si="51"/>
        <v>780</v>
      </c>
      <c r="B861" s="4">
        <v>4300</v>
      </c>
      <c r="C861" s="79" t="s">
        <v>130</v>
      </c>
      <c r="D861" s="25"/>
      <c r="E861" s="46">
        <v>81000</v>
      </c>
      <c r="F861" s="131">
        <v>74020</v>
      </c>
      <c r="G861" s="131">
        <v>74020</v>
      </c>
      <c r="H861" s="131">
        <v>71730</v>
      </c>
      <c r="I861" s="207">
        <f t="shared" si="49"/>
        <v>0.9690624155633613</v>
      </c>
      <c r="J861" s="207">
        <f>H861/$H$1431</f>
        <v>0.0010708926038207227</v>
      </c>
    </row>
    <row r="862" spans="1:10" s="73" customFormat="1" ht="12.75">
      <c r="A862" s="147">
        <f t="shared" si="51"/>
        <v>781</v>
      </c>
      <c r="B862" s="62">
        <v>80146</v>
      </c>
      <c r="C862" s="68" t="s">
        <v>176</v>
      </c>
      <c r="D862" s="63"/>
      <c r="E862" s="72"/>
      <c r="F862" s="138">
        <f>+F863+F868+F874+F880</f>
        <v>27018</v>
      </c>
      <c r="G862" s="138">
        <f>+G863+G868+G874+G880</f>
        <v>27018</v>
      </c>
      <c r="H862" s="138">
        <f>+H863+H868+H874+H880</f>
        <v>33600</v>
      </c>
      <c r="I862" s="207">
        <f t="shared" si="49"/>
        <v>1.243615367532756</v>
      </c>
      <c r="J862" s="207">
        <f>H862/$H$1431</f>
        <v>0.0005016309980256</v>
      </c>
    </row>
    <row r="863" spans="1:10" s="73" customFormat="1" ht="12.75">
      <c r="A863" s="147">
        <f t="shared" si="51"/>
        <v>782</v>
      </c>
      <c r="B863" s="4">
        <v>3250</v>
      </c>
      <c r="C863" s="79" t="s">
        <v>40</v>
      </c>
      <c r="D863" s="63"/>
      <c r="E863" s="72"/>
      <c r="F863" s="136">
        <f>SUM(F865:F867)</f>
        <v>2600</v>
      </c>
      <c r="G863" s="136">
        <f>SUM(G865:G867)</f>
        <v>2600</v>
      </c>
      <c r="H863" s="136">
        <f>SUM(H865:H867)</f>
        <v>2600</v>
      </c>
      <c r="I863" s="207">
        <f t="shared" si="49"/>
        <v>1</v>
      </c>
      <c r="J863" s="207">
        <f>H863/$H$1431</f>
        <v>3.8816684371028566E-05</v>
      </c>
    </row>
    <row r="864" spans="1:10" s="73" customFormat="1" ht="12.75">
      <c r="A864" s="147">
        <f t="shared" si="51"/>
        <v>783</v>
      </c>
      <c r="B864" s="4"/>
      <c r="C864" s="79" t="s">
        <v>15</v>
      </c>
      <c r="D864" s="63"/>
      <c r="E864" s="72"/>
      <c r="F864" s="136"/>
      <c r="G864" s="136"/>
      <c r="H864" s="136"/>
      <c r="I864" s="207"/>
      <c r="J864" s="207"/>
    </row>
    <row r="865" spans="1:10" s="73" customFormat="1" ht="12.75">
      <c r="A865" s="147">
        <f t="shared" si="51"/>
        <v>784</v>
      </c>
      <c r="B865" s="4"/>
      <c r="C865" s="79" t="s">
        <v>143</v>
      </c>
      <c r="D865" s="63"/>
      <c r="E865" s="72"/>
      <c r="F865" s="136">
        <v>0</v>
      </c>
      <c r="G865" s="136">
        <v>0</v>
      </c>
      <c r="H865" s="136">
        <v>0</v>
      </c>
      <c r="I865" s="207"/>
      <c r="J865" s="207"/>
    </row>
    <row r="866" spans="1:10" s="73" customFormat="1" ht="12.75">
      <c r="A866" s="147">
        <f t="shared" si="51"/>
        <v>785</v>
      </c>
      <c r="B866" s="4"/>
      <c r="C866" s="79" t="s">
        <v>144</v>
      </c>
      <c r="D866" s="63"/>
      <c r="E866" s="72"/>
      <c r="F866" s="136">
        <v>0</v>
      </c>
      <c r="G866" s="136">
        <v>0</v>
      </c>
      <c r="H866" s="136">
        <v>0</v>
      </c>
      <c r="I866" s="207"/>
      <c r="J866" s="207"/>
    </row>
    <row r="867" spans="1:10" s="73" customFormat="1" ht="12.75">
      <c r="A867" s="147">
        <f t="shared" si="51"/>
        <v>786</v>
      </c>
      <c r="B867" s="4"/>
      <c r="C867" s="79" t="s">
        <v>44</v>
      </c>
      <c r="D867" s="63"/>
      <c r="E867" s="72"/>
      <c r="F867" s="136">
        <v>2600</v>
      </c>
      <c r="G867" s="136">
        <v>2600</v>
      </c>
      <c r="H867" s="136">
        <v>2600</v>
      </c>
      <c r="I867" s="207">
        <f t="shared" si="49"/>
        <v>1</v>
      </c>
      <c r="J867" s="207">
        <f>H867/$H$1431</f>
        <v>3.8816684371028566E-05</v>
      </c>
    </row>
    <row r="868" spans="1:10" ht="12.75">
      <c r="A868" s="147">
        <f t="shared" si="51"/>
        <v>787</v>
      </c>
      <c r="B868" s="4">
        <v>4300</v>
      </c>
      <c r="C868" s="79" t="s">
        <v>130</v>
      </c>
      <c r="D868" s="25"/>
      <c r="E868" s="46"/>
      <c r="F868" s="131">
        <f>SUM(F870:F873)</f>
        <v>9568</v>
      </c>
      <c r="G868" s="131">
        <f>SUM(G870:G873)</f>
        <v>9568</v>
      </c>
      <c r="H868" s="131">
        <f>SUM(H870:H873)</f>
        <v>12700</v>
      </c>
      <c r="I868" s="207">
        <f t="shared" si="49"/>
        <v>1.3273411371237458</v>
      </c>
      <c r="J868" s="207">
        <f>H868/$H$1431</f>
        <v>0.0001896045736584857</v>
      </c>
    </row>
    <row r="869" spans="1:10" ht="12.75">
      <c r="A869" s="147">
        <f t="shared" si="51"/>
        <v>788</v>
      </c>
      <c r="B869" s="4"/>
      <c r="C869" s="79" t="s">
        <v>15</v>
      </c>
      <c r="D869" s="25"/>
      <c r="E869" s="46"/>
      <c r="F869" s="131"/>
      <c r="G869" s="131"/>
      <c r="H869" s="131"/>
      <c r="I869" s="207"/>
      <c r="J869" s="207"/>
    </row>
    <row r="870" spans="1:10" ht="12.75">
      <c r="A870" s="147">
        <f t="shared" si="51"/>
        <v>789</v>
      </c>
      <c r="B870" s="4"/>
      <c r="C870" s="79" t="s">
        <v>143</v>
      </c>
      <c r="D870" s="25"/>
      <c r="E870" s="46"/>
      <c r="F870" s="131">
        <v>3600</v>
      </c>
      <c r="G870" s="131">
        <v>3600</v>
      </c>
      <c r="H870" s="131">
        <v>4400</v>
      </c>
      <c r="I870" s="207">
        <f t="shared" si="49"/>
        <v>1.2222222222222223</v>
      </c>
      <c r="J870" s="207">
        <f>H870/$H$1431</f>
        <v>6.568977355097142E-05</v>
      </c>
    </row>
    <row r="871" spans="1:10" ht="12.75">
      <c r="A871" s="147">
        <f t="shared" si="51"/>
        <v>790</v>
      </c>
      <c r="B871" s="4"/>
      <c r="C871" s="79" t="s">
        <v>144</v>
      </c>
      <c r="D871" s="25"/>
      <c r="E871" s="46"/>
      <c r="F871" s="131">
        <v>2400</v>
      </c>
      <c r="G871" s="131">
        <v>2400</v>
      </c>
      <c r="H871" s="131">
        <v>3100</v>
      </c>
      <c r="I871" s="207">
        <f t="shared" si="49"/>
        <v>1.2916666666666667</v>
      </c>
      <c r="J871" s="207">
        <f>H871/$H$1431</f>
        <v>4.6281431365457134E-05</v>
      </c>
    </row>
    <row r="872" spans="1:10" ht="12.75">
      <c r="A872" s="147">
        <f t="shared" si="51"/>
        <v>791</v>
      </c>
      <c r="B872" s="4"/>
      <c r="C872" s="79" t="s">
        <v>177</v>
      </c>
      <c r="D872" s="25"/>
      <c r="E872" s="46"/>
      <c r="F872" s="131">
        <v>3568</v>
      </c>
      <c r="G872" s="131">
        <v>3568</v>
      </c>
      <c r="H872" s="131">
        <v>5200</v>
      </c>
      <c r="I872" s="207">
        <f t="shared" si="49"/>
        <v>1.4573991031390134</v>
      </c>
      <c r="J872" s="207">
        <f>H872/$H$1431</f>
        <v>7.763336874205713E-05</v>
      </c>
    </row>
    <row r="873" spans="1:10" ht="12.75">
      <c r="A873" s="147">
        <f t="shared" si="51"/>
        <v>792</v>
      </c>
      <c r="B873" s="4"/>
      <c r="C873" s="79" t="s">
        <v>44</v>
      </c>
      <c r="D873" s="25"/>
      <c r="E873" s="46"/>
      <c r="F873" s="131">
        <v>0</v>
      </c>
      <c r="G873" s="131">
        <v>0</v>
      </c>
      <c r="H873" s="131">
        <v>0</v>
      </c>
      <c r="I873" s="207"/>
      <c r="J873" s="207"/>
    </row>
    <row r="874" spans="1:10" ht="12.75">
      <c r="A874" s="147">
        <f t="shared" si="51"/>
        <v>793</v>
      </c>
      <c r="B874" s="4">
        <v>4410</v>
      </c>
      <c r="C874" s="79" t="s">
        <v>29</v>
      </c>
      <c r="D874" s="25"/>
      <c r="E874" s="46"/>
      <c r="F874" s="131">
        <f>SUM(F876:F878)</f>
        <v>7250</v>
      </c>
      <c r="G874" s="131">
        <f>SUM(G876:G878)</f>
        <v>7250</v>
      </c>
      <c r="H874" s="131">
        <f>SUM(H876:H878)</f>
        <v>7800</v>
      </c>
      <c r="I874" s="207">
        <f t="shared" si="49"/>
        <v>1.0758620689655172</v>
      </c>
      <c r="J874" s="207">
        <f>H874/$H$1431</f>
        <v>0.00011645005311308569</v>
      </c>
    </row>
    <row r="875" spans="1:10" ht="12.75">
      <c r="A875" s="147">
        <f t="shared" si="51"/>
        <v>794</v>
      </c>
      <c r="B875" s="4"/>
      <c r="C875" s="79" t="s">
        <v>15</v>
      </c>
      <c r="D875" s="25"/>
      <c r="E875" s="46"/>
      <c r="F875" s="131"/>
      <c r="G875" s="131"/>
      <c r="H875" s="131"/>
      <c r="I875" s="207"/>
      <c r="J875" s="207"/>
    </row>
    <row r="876" spans="1:10" ht="12.75">
      <c r="A876" s="147">
        <f t="shared" si="51"/>
        <v>795</v>
      </c>
      <c r="B876" s="4"/>
      <c r="C876" s="79" t="s">
        <v>143</v>
      </c>
      <c r="D876" s="25"/>
      <c r="E876" s="46"/>
      <c r="F876" s="131">
        <v>4000</v>
      </c>
      <c r="G876" s="131">
        <v>4000</v>
      </c>
      <c r="H876" s="131">
        <v>4400</v>
      </c>
      <c r="I876" s="207">
        <f t="shared" si="49"/>
        <v>1.1</v>
      </c>
      <c r="J876" s="207">
        <f>H876/$H$1431</f>
        <v>6.568977355097142E-05</v>
      </c>
    </row>
    <row r="877" spans="1:10" ht="12.75">
      <c r="A877" s="147">
        <f t="shared" si="51"/>
        <v>796</v>
      </c>
      <c r="B877" s="4"/>
      <c r="C877" s="79" t="s">
        <v>144</v>
      </c>
      <c r="D877" s="25"/>
      <c r="E877" s="46"/>
      <c r="F877" s="131">
        <v>750</v>
      </c>
      <c r="G877" s="131">
        <v>750</v>
      </c>
      <c r="H877" s="131">
        <v>900</v>
      </c>
      <c r="I877" s="207">
        <f t="shared" si="49"/>
        <v>1.2</v>
      </c>
      <c r="J877" s="207">
        <f>H877/$H$1431</f>
        <v>1.3436544589971427E-05</v>
      </c>
    </row>
    <row r="878" spans="1:10" ht="12.75">
      <c r="A878" s="147">
        <f t="shared" si="51"/>
        <v>797</v>
      </c>
      <c r="B878" s="4"/>
      <c r="C878" s="79" t="s">
        <v>44</v>
      </c>
      <c r="D878" s="25"/>
      <c r="E878" s="46"/>
      <c r="F878" s="131">
        <v>2500</v>
      </c>
      <c r="G878" s="131">
        <v>2500</v>
      </c>
      <c r="H878" s="131">
        <v>2500</v>
      </c>
      <c r="I878" s="207">
        <f t="shared" si="49"/>
        <v>1</v>
      </c>
      <c r="J878" s="207">
        <f>H878/$H$1431</f>
        <v>3.7323734972142854E-05</v>
      </c>
    </row>
    <row r="879" spans="1:10" ht="12.75">
      <c r="A879" s="147">
        <f t="shared" si="51"/>
        <v>798</v>
      </c>
      <c r="B879" s="4">
        <v>4700</v>
      </c>
      <c r="C879" s="79" t="s">
        <v>297</v>
      </c>
      <c r="D879" s="25"/>
      <c r="E879" s="46"/>
      <c r="F879" s="131"/>
      <c r="G879" s="131"/>
      <c r="H879" s="131"/>
      <c r="I879" s="207"/>
      <c r="J879" s="207"/>
    </row>
    <row r="880" spans="1:10" ht="12.75">
      <c r="A880" s="147">
        <f t="shared" si="51"/>
        <v>799</v>
      </c>
      <c r="B880" s="4"/>
      <c r="C880" s="79" t="s">
        <v>296</v>
      </c>
      <c r="D880" s="25"/>
      <c r="E880" s="46"/>
      <c r="F880" s="131">
        <f>SUM(F882:F883)</f>
        <v>7600</v>
      </c>
      <c r="G880" s="131">
        <f>SUM(G882:G883)</f>
        <v>7600</v>
      </c>
      <c r="H880" s="131">
        <f>SUM(H882:H883)</f>
        <v>10500</v>
      </c>
      <c r="I880" s="207">
        <f t="shared" si="49"/>
        <v>1.381578947368421</v>
      </c>
      <c r="J880" s="207">
        <f>H880/$H$1431</f>
        <v>0.00015675968688299996</v>
      </c>
    </row>
    <row r="881" spans="1:10" ht="12.75">
      <c r="A881" s="147">
        <f t="shared" si="51"/>
        <v>800</v>
      </c>
      <c r="B881" s="4"/>
      <c r="C881" s="79" t="s">
        <v>15</v>
      </c>
      <c r="D881" s="25"/>
      <c r="E881" s="46"/>
      <c r="F881" s="131"/>
      <c r="G881" s="131"/>
      <c r="H881" s="131"/>
      <c r="I881" s="207"/>
      <c r="J881" s="207"/>
    </row>
    <row r="882" spans="1:10" ht="12.75">
      <c r="A882" s="147">
        <f t="shared" si="51"/>
        <v>801</v>
      </c>
      <c r="B882" s="4"/>
      <c r="C882" s="79" t="s">
        <v>143</v>
      </c>
      <c r="D882" s="25"/>
      <c r="E882" s="46"/>
      <c r="F882" s="131">
        <v>3000</v>
      </c>
      <c r="G882" s="131">
        <v>3000</v>
      </c>
      <c r="H882" s="131">
        <v>4400</v>
      </c>
      <c r="I882" s="207">
        <f t="shared" si="49"/>
        <v>1.4666666666666666</v>
      </c>
      <c r="J882" s="207">
        <f>H882/$H$1431</f>
        <v>6.568977355097142E-05</v>
      </c>
    </row>
    <row r="883" spans="1:10" ht="12.75">
      <c r="A883" s="147">
        <f t="shared" si="51"/>
        <v>802</v>
      </c>
      <c r="B883" s="4"/>
      <c r="C883" s="79" t="s">
        <v>44</v>
      </c>
      <c r="D883" s="25"/>
      <c r="E883" s="46"/>
      <c r="F883" s="131">
        <v>4600</v>
      </c>
      <c r="G883" s="131">
        <v>4600</v>
      </c>
      <c r="H883" s="131">
        <v>6100</v>
      </c>
      <c r="I883" s="207">
        <f t="shared" si="49"/>
        <v>1.326086956521739</v>
      </c>
      <c r="J883" s="207">
        <f>H883/$H$1431</f>
        <v>9.106991333202856E-05</v>
      </c>
    </row>
    <row r="884" spans="1:10" s="166" customFormat="1" ht="12.75">
      <c r="A884" s="147">
        <f t="shared" si="51"/>
        <v>803</v>
      </c>
      <c r="B884" s="180">
        <v>80148</v>
      </c>
      <c r="C884" s="168" t="s">
        <v>381</v>
      </c>
      <c r="D884" s="146"/>
      <c r="E884" s="150"/>
      <c r="F884" s="151">
        <f>+F885+F890+F895+F900+F905+F910+F915+F920+F925+F930+F935</f>
        <v>431540</v>
      </c>
      <c r="G884" s="151">
        <f>+G885+G890+G895+G900+G905+G910+G915+G920+G925+G930+G935</f>
        <v>431540</v>
      </c>
      <c r="H884" s="151">
        <f>+H885+H890+H895+H900+H905+H910+H915+H920+H925+H930+H935</f>
        <v>467298</v>
      </c>
      <c r="I884" s="207">
        <f t="shared" si="49"/>
        <v>1.0828613801733327</v>
      </c>
      <c r="J884" s="207">
        <f>H884/$H$1431</f>
        <v>0.006976522682004964</v>
      </c>
    </row>
    <row r="885" spans="1:10" ht="12.75">
      <c r="A885" s="147">
        <f t="shared" si="51"/>
        <v>804</v>
      </c>
      <c r="B885" s="4">
        <v>3020</v>
      </c>
      <c r="C885" s="79" t="s">
        <v>218</v>
      </c>
      <c r="D885" s="25"/>
      <c r="E885" s="46"/>
      <c r="F885" s="131">
        <f>SUM(F887:F889)</f>
        <v>1200</v>
      </c>
      <c r="G885" s="131">
        <f>SUM(G887:G889)</f>
        <v>1200</v>
      </c>
      <c r="H885" s="131">
        <f>SUM(H887:H889)</f>
        <v>1228</v>
      </c>
      <c r="I885" s="207">
        <f t="shared" si="49"/>
        <v>1.0233333333333334</v>
      </c>
      <c r="J885" s="207">
        <f>H885/$H$1431</f>
        <v>1.8333418618316568E-05</v>
      </c>
    </row>
    <row r="886" spans="1:10" ht="12.75">
      <c r="A886" s="147">
        <f t="shared" si="51"/>
        <v>805</v>
      </c>
      <c r="B886" s="4"/>
      <c r="C886" s="79" t="s">
        <v>15</v>
      </c>
      <c r="D886" s="25"/>
      <c r="E886" s="46"/>
      <c r="F886" s="131"/>
      <c r="G886" s="131"/>
      <c r="H886" s="131"/>
      <c r="I886" s="207"/>
      <c r="J886" s="207"/>
    </row>
    <row r="887" spans="1:10" ht="12.75">
      <c r="A887" s="147">
        <f t="shared" si="51"/>
        <v>806</v>
      </c>
      <c r="B887" s="4"/>
      <c r="C887" s="79" t="s">
        <v>143</v>
      </c>
      <c r="D887" s="25"/>
      <c r="E887" s="46"/>
      <c r="F887" s="131">
        <v>1000</v>
      </c>
      <c r="G887" s="131">
        <v>1000</v>
      </c>
      <c r="H887" s="131">
        <v>1000</v>
      </c>
      <c r="I887" s="207">
        <f t="shared" si="49"/>
        <v>1</v>
      </c>
      <c r="J887" s="207">
        <f>H887/$H$1431</f>
        <v>1.4929493988857141E-05</v>
      </c>
    </row>
    <row r="888" spans="1:10" ht="12.75">
      <c r="A888" s="147">
        <f t="shared" si="51"/>
        <v>807</v>
      </c>
      <c r="B888" s="4"/>
      <c r="C888" s="79" t="s">
        <v>144</v>
      </c>
      <c r="D888" s="25"/>
      <c r="E888" s="46"/>
      <c r="F888" s="131">
        <v>200</v>
      </c>
      <c r="G888" s="131">
        <v>200</v>
      </c>
      <c r="H888" s="131">
        <v>228</v>
      </c>
      <c r="I888" s="207">
        <f t="shared" si="49"/>
        <v>1.14</v>
      </c>
      <c r="J888" s="207">
        <f>H888/$H$1431</f>
        <v>3.403924629459428E-06</v>
      </c>
    </row>
    <row r="889" spans="1:10" ht="12.75">
      <c r="A889" s="147">
        <f t="shared" si="51"/>
        <v>808</v>
      </c>
      <c r="B889" s="4"/>
      <c r="C889" s="79" t="s">
        <v>44</v>
      </c>
      <c r="D889" s="25"/>
      <c r="E889" s="46"/>
      <c r="F889" s="131">
        <v>0</v>
      </c>
      <c r="G889" s="131">
        <v>0</v>
      </c>
      <c r="H889" s="131">
        <v>0</v>
      </c>
      <c r="I889" s="207"/>
      <c r="J889" s="207"/>
    </row>
    <row r="890" spans="1:10" ht="12.75">
      <c r="A890" s="147">
        <f t="shared" si="51"/>
        <v>809</v>
      </c>
      <c r="B890" s="4">
        <v>4010</v>
      </c>
      <c r="C890" s="79" t="s">
        <v>27</v>
      </c>
      <c r="D890" s="25"/>
      <c r="E890" s="46"/>
      <c r="F890" s="131">
        <f>SUM(F892:F894)</f>
        <v>163820</v>
      </c>
      <c r="G890" s="131">
        <f>SUM(G892:G894)</f>
        <v>163820</v>
      </c>
      <c r="H890" s="131">
        <f>SUM(H892:H894)</f>
        <v>182450</v>
      </c>
      <c r="I890" s="207">
        <f t="shared" si="49"/>
        <v>1.1137223782199976</v>
      </c>
      <c r="J890" s="207">
        <f>H890/$H$1431</f>
        <v>0.0027238861782669854</v>
      </c>
    </row>
    <row r="891" spans="1:10" ht="12.75">
      <c r="A891" s="147">
        <f t="shared" si="51"/>
        <v>810</v>
      </c>
      <c r="B891" s="4"/>
      <c r="C891" s="79" t="s">
        <v>15</v>
      </c>
      <c r="D891" s="25"/>
      <c r="E891" s="46"/>
      <c r="F891" s="131"/>
      <c r="G891" s="131"/>
      <c r="H891" s="131"/>
      <c r="I891" s="207"/>
      <c r="J891" s="207"/>
    </row>
    <row r="892" spans="1:10" ht="12.75">
      <c r="A892" s="147">
        <f t="shared" si="51"/>
        <v>811</v>
      </c>
      <c r="B892" s="4"/>
      <c r="C892" s="79" t="s">
        <v>143</v>
      </c>
      <c r="D892" s="25"/>
      <c r="E892" s="46"/>
      <c r="F892" s="131">
        <v>73700</v>
      </c>
      <c r="G892" s="131">
        <v>73700</v>
      </c>
      <c r="H892" s="131">
        <v>91300</v>
      </c>
      <c r="I892" s="207"/>
      <c r="J892" s="207">
        <f>H892/$H$1431</f>
        <v>0.0013630628011826568</v>
      </c>
    </row>
    <row r="893" spans="1:10" ht="12.75">
      <c r="A893" s="147">
        <f t="shared" si="51"/>
        <v>812</v>
      </c>
      <c r="B893" s="4"/>
      <c r="C893" s="79" t="s">
        <v>144</v>
      </c>
      <c r="D893" s="25"/>
      <c r="E893" s="46"/>
      <c r="F893" s="131">
        <v>35420</v>
      </c>
      <c r="G893" s="131">
        <v>35420</v>
      </c>
      <c r="H893" s="131">
        <v>28550</v>
      </c>
      <c r="I893" s="207">
        <f t="shared" si="49"/>
        <v>0.8060417843026538</v>
      </c>
      <c r="J893" s="207">
        <f>H893/$H$1431</f>
        <v>0.00042623705338187134</v>
      </c>
    </row>
    <row r="894" spans="1:10" ht="12.75">
      <c r="A894" s="147">
        <f t="shared" si="51"/>
        <v>813</v>
      </c>
      <c r="B894" s="4"/>
      <c r="C894" s="79" t="s">
        <v>44</v>
      </c>
      <c r="D894" s="25"/>
      <c r="E894" s="46"/>
      <c r="F894" s="131">
        <v>54700</v>
      </c>
      <c r="G894" s="131">
        <v>54700</v>
      </c>
      <c r="H894" s="131">
        <v>62600</v>
      </c>
      <c r="I894" s="207">
        <f t="shared" si="49"/>
        <v>1.1444241316270567</v>
      </c>
      <c r="J894" s="207">
        <f>H894/$H$1431</f>
        <v>0.000934586323702457</v>
      </c>
    </row>
    <row r="895" spans="1:10" ht="12.75">
      <c r="A895" s="147">
        <f t="shared" si="51"/>
        <v>814</v>
      </c>
      <c r="B895" s="4">
        <v>4040</v>
      </c>
      <c r="C895" s="79" t="s">
        <v>28</v>
      </c>
      <c r="D895" s="25"/>
      <c r="E895" s="46"/>
      <c r="F895" s="131">
        <f>SUM(F897:F899)</f>
        <v>12000</v>
      </c>
      <c r="G895" s="131">
        <f>SUM(G897:G899)</f>
        <v>12000</v>
      </c>
      <c r="H895" s="131">
        <f>SUM(H897:H899)</f>
        <v>13950</v>
      </c>
      <c r="I895" s="207">
        <f t="shared" si="49"/>
        <v>1.1625</v>
      </c>
      <c r="J895" s="207">
        <f>H895/$H$1431</f>
        <v>0.0002082664411445571</v>
      </c>
    </row>
    <row r="896" spans="1:10" ht="12.75">
      <c r="A896" s="147">
        <f t="shared" si="51"/>
        <v>815</v>
      </c>
      <c r="B896" s="4"/>
      <c r="C896" s="79" t="s">
        <v>15</v>
      </c>
      <c r="D896" s="25"/>
      <c r="E896" s="46"/>
      <c r="F896" s="131"/>
      <c r="G896" s="131"/>
      <c r="H896" s="131"/>
      <c r="I896" s="207"/>
      <c r="J896" s="207"/>
    </row>
    <row r="897" spans="1:10" ht="12.75">
      <c r="A897" s="147">
        <f t="shared" si="51"/>
        <v>816</v>
      </c>
      <c r="B897" s="4"/>
      <c r="C897" s="79" t="s">
        <v>143</v>
      </c>
      <c r="D897" s="25"/>
      <c r="E897" s="46"/>
      <c r="F897" s="131">
        <v>5600</v>
      </c>
      <c r="G897" s="131">
        <v>5600</v>
      </c>
      <c r="H897" s="131">
        <v>6600</v>
      </c>
      <c r="I897" s="207">
        <f t="shared" si="49"/>
        <v>1.1785714285714286</v>
      </c>
      <c r="J897" s="207">
        <f>H897/$H$1431</f>
        <v>9.853466032645713E-05</v>
      </c>
    </row>
    <row r="898" spans="1:10" ht="12.75">
      <c r="A898" s="147">
        <f t="shared" si="51"/>
        <v>817</v>
      </c>
      <c r="B898" s="4"/>
      <c r="C898" s="79" t="s">
        <v>144</v>
      </c>
      <c r="D898" s="25"/>
      <c r="E898" s="46"/>
      <c r="F898" s="131">
        <v>1800</v>
      </c>
      <c r="G898" s="131">
        <v>1800</v>
      </c>
      <c r="H898" s="131">
        <v>2150</v>
      </c>
      <c r="I898" s="207">
        <f t="shared" si="49"/>
        <v>1.1944444444444444</v>
      </c>
      <c r="J898" s="207">
        <f>H898/$H$1431</f>
        <v>3.2098412076042854E-05</v>
      </c>
    </row>
    <row r="899" spans="1:10" ht="12.75">
      <c r="A899" s="147">
        <f t="shared" si="51"/>
        <v>818</v>
      </c>
      <c r="B899" s="4"/>
      <c r="C899" s="79" t="s">
        <v>44</v>
      </c>
      <c r="D899" s="25"/>
      <c r="E899" s="46"/>
      <c r="F899" s="131">
        <v>4600</v>
      </c>
      <c r="G899" s="131">
        <v>4600</v>
      </c>
      <c r="H899" s="131">
        <v>5200</v>
      </c>
      <c r="I899" s="207">
        <f t="shared" si="49"/>
        <v>1.1304347826086956</v>
      </c>
      <c r="J899" s="207">
        <f>H899/$H$1431</f>
        <v>7.763336874205713E-05</v>
      </c>
    </row>
    <row r="900" spans="1:10" ht="12.75">
      <c r="A900" s="147">
        <f t="shared" si="51"/>
        <v>819</v>
      </c>
      <c r="B900" s="4">
        <v>4110</v>
      </c>
      <c r="C900" s="79" t="s">
        <v>32</v>
      </c>
      <c r="D900" s="25"/>
      <c r="E900" s="46"/>
      <c r="F900" s="131">
        <f>SUM(F902:F904)</f>
        <v>27280</v>
      </c>
      <c r="G900" s="131">
        <f>SUM(G902:G904)</f>
        <v>27280</v>
      </c>
      <c r="H900" s="131">
        <f>SUM(H902:H904)</f>
        <v>31240</v>
      </c>
      <c r="I900" s="207">
        <f t="shared" si="49"/>
        <v>1.1451612903225807</v>
      </c>
      <c r="J900" s="207">
        <f>H900/$H$1431</f>
        <v>0.0004663973922118971</v>
      </c>
    </row>
    <row r="901" spans="1:10" ht="12.75">
      <c r="A901" s="147">
        <f t="shared" si="51"/>
        <v>820</v>
      </c>
      <c r="B901" s="4"/>
      <c r="C901" s="79" t="s">
        <v>15</v>
      </c>
      <c r="D901" s="25"/>
      <c r="E901" s="46"/>
      <c r="F901" s="131"/>
      <c r="G901" s="131"/>
      <c r="H901" s="131"/>
      <c r="I901" s="207"/>
      <c r="J901" s="207"/>
    </row>
    <row r="902" spans="1:10" ht="12.75">
      <c r="A902" s="147">
        <f t="shared" si="51"/>
        <v>821</v>
      </c>
      <c r="B902" s="4"/>
      <c r="C902" s="79" t="s">
        <v>143</v>
      </c>
      <c r="D902" s="25"/>
      <c r="E902" s="46"/>
      <c r="F902" s="131">
        <v>13100</v>
      </c>
      <c r="G902" s="131">
        <v>13100</v>
      </c>
      <c r="H902" s="131">
        <v>15000</v>
      </c>
      <c r="I902" s="207">
        <f t="shared" si="49"/>
        <v>1.1450381679389312</v>
      </c>
      <c r="J902" s="207">
        <f>H902/$H$1431</f>
        <v>0.0002239424098328571</v>
      </c>
    </row>
    <row r="903" spans="1:10" ht="12.75">
      <c r="A903" s="147">
        <f t="shared" si="51"/>
        <v>822</v>
      </c>
      <c r="B903" s="4"/>
      <c r="C903" s="79" t="s">
        <v>144</v>
      </c>
      <c r="D903" s="25"/>
      <c r="E903" s="46"/>
      <c r="F903" s="131">
        <v>4280</v>
      </c>
      <c r="G903" s="131">
        <v>4280</v>
      </c>
      <c r="H903" s="131">
        <v>4540</v>
      </c>
      <c r="I903" s="207">
        <f t="shared" si="49"/>
        <v>1.060747663551402</v>
      </c>
      <c r="J903" s="207">
        <f>H903/$H$1431</f>
        <v>6.777990270941141E-05</v>
      </c>
    </row>
    <row r="904" spans="1:10" ht="12.75">
      <c r="A904" s="147">
        <f t="shared" si="51"/>
        <v>823</v>
      </c>
      <c r="B904" s="4"/>
      <c r="C904" s="79" t="s">
        <v>44</v>
      </c>
      <c r="D904" s="25"/>
      <c r="E904" s="46"/>
      <c r="F904" s="131">
        <v>9900</v>
      </c>
      <c r="G904" s="131">
        <v>9900</v>
      </c>
      <c r="H904" s="131">
        <v>11700</v>
      </c>
      <c r="I904" s="207">
        <f t="shared" si="49"/>
        <v>1.1818181818181819</v>
      </c>
      <c r="J904" s="207">
        <f>H904/$H$1431</f>
        <v>0.00017467507966962854</v>
      </c>
    </row>
    <row r="905" spans="1:10" ht="12.75">
      <c r="A905" s="147">
        <f t="shared" si="51"/>
        <v>824</v>
      </c>
      <c r="B905" s="4">
        <v>4120</v>
      </c>
      <c r="C905" s="79" t="s">
        <v>33</v>
      </c>
      <c r="D905" s="25"/>
      <c r="E905" s="46"/>
      <c r="F905" s="131">
        <f>SUM(F907:F909)</f>
        <v>3980</v>
      </c>
      <c r="G905" s="131">
        <f>SUM(G907:G909)</f>
        <v>3980</v>
      </c>
      <c r="H905" s="131">
        <f>SUM(H907:H909)</f>
        <v>4820</v>
      </c>
      <c r="I905" s="207">
        <f t="shared" si="49"/>
        <v>1.2110552763819096</v>
      </c>
      <c r="J905" s="207">
        <f>H905/$H$1431</f>
        <v>7.196016102629142E-05</v>
      </c>
    </row>
    <row r="906" spans="1:10" ht="12.75">
      <c r="A906" s="147">
        <f t="shared" si="51"/>
        <v>825</v>
      </c>
      <c r="B906" s="4"/>
      <c r="C906" s="79" t="s">
        <v>15</v>
      </c>
      <c r="D906" s="25"/>
      <c r="E906" s="46"/>
      <c r="F906" s="131"/>
      <c r="G906" s="131"/>
      <c r="H906" s="131"/>
      <c r="I906" s="207"/>
      <c r="J906" s="207"/>
    </row>
    <row r="907" spans="1:10" ht="12.75">
      <c r="A907" s="147">
        <f t="shared" si="51"/>
        <v>826</v>
      </c>
      <c r="B907" s="4"/>
      <c r="C907" s="79" t="s">
        <v>143</v>
      </c>
      <c r="D907" s="25"/>
      <c r="E907" s="46"/>
      <c r="F907" s="131">
        <v>1900</v>
      </c>
      <c r="G907" s="131">
        <v>1900</v>
      </c>
      <c r="H907" s="131">
        <v>2400</v>
      </c>
      <c r="I907" s="207">
        <f t="shared" si="49"/>
        <v>1.263157894736842</v>
      </c>
      <c r="J907" s="207">
        <f>H907/$H$1431</f>
        <v>3.5830785573257135E-05</v>
      </c>
    </row>
    <row r="908" spans="1:10" ht="12.75">
      <c r="A908" s="147">
        <f t="shared" si="51"/>
        <v>827</v>
      </c>
      <c r="B908" s="4"/>
      <c r="C908" s="79" t="s">
        <v>144</v>
      </c>
      <c r="D908" s="25"/>
      <c r="E908" s="46"/>
      <c r="F908" s="131">
        <v>680</v>
      </c>
      <c r="G908" s="131">
        <v>680</v>
      </c>
      <c r="H908" s="131">
        <v>720</v>
      </c>
      <c r="I908" s="207">
        <f t="shared" si="49"/>
        <v>1.0588235294117647</v>
      </c>
      <c r="J908" s="207">
        <f>H908/$H$1431</f>
        <v>1.074923567197714E-05</v>
      </c>
    </row>
    <row r="909" spans="1:10" ht="12.75">
      <c r="A909" s="147">
        <f t="shared" si="51"/>
        <v>828</v>
      </c>
      <c r="B909" s="4"/>
      <c r="C909" s="79" t="s">
        <v>44</v>
      </c>
      <c r="D909" s="25"/>
      <c r="E909" s="46"/>
      <c r="F909" s="131">
        <v>1400</v>
      </c>
      <c r="G909" s="131">
        <v>1400</v>
      </c>
      <c r="H909" s="131">
        <v>1700</v>
      </c>
      <c r="I909" s="207">
        <f aca="true" t="shared" si="52" ref="I909:I972">H909/G909</f>
        <v>1.2142857142857142</v>
      </c>
      <c r="J909" s="207">
        <f>H909/$H$1431</f>
        <v>2.538013978105714E-05</v>
      </c>
    </row>
    <row r="910" spans="1:10" ht="12.75">
      <c r="A910" s="147">
        <f t="shared" si="51"/>
        <v>829</v>
      </c>
      <c r="B910" s="4">
        <v>4210</v>
      </c>
      <c r="C910" s="79" t="s">
        <v>132</v>
      </c>
      <c r="D910" s="25"/>
      <c r="E910" s="46"/>
      <c r="F910" s="131">
        <f>SUM(F912:F914)</f>
        <v>9770</v>
      </c>
      <c r="G910" s="131">
        <f>SUM(G912:G914)</f>
        <v>9770</v>
      </c>
      <c r="H910" s="131">
        <f>SUM(H912:H914)</f>
        <v>10070</v>
      </c>
      <c r="I910" s="207">
        <f t="shared" si="52"/>
        <v>1.030706243602866</v>
      </c>
      <c r="J910" s="207">
        <f>H910/$H$1431</f>
        <v>0.0001503400044677914</v>
      </c>
    </row>
    <row r="911" spans="1:10" ht="12.75">
      <c r="A911" s="147">
        <f t="shared" si="51"/>
        <v>830</v>
      </c>
      <c r="B911" s="4"/>
      <c r="C911" s="79" t="s">
        <v>15</v>
      </c>
      <c r="D911" s="25"/>
      <c r="E911" s="46"/>
      <c r="F911" s="131"/>
      <c r="G911" s="131"/>
      <c r="H911" s="131"/>
      <c r="I911" s="207"/>
      <c r="J911" s="207"/>
    </row>
    <row r="912" spans="1:10" ht="12.75">
      <c r="A912" s="147">
        <f t="shared" si="51"/>
        <v>831</v>
      </c>
      <c r="B912" s="4"/>
      <c r="C912" s="79" t="s">
        <v>143</v>
      </c>
      <c r="D912" s="25"/>
      <c r="E912" s="46"/>
      <c r="F912" s="131">
        <v>7000</v>
      </c>
      <c r="G912" s="131">
        <v>7000</v>
      </c>
      <c r="H912" s="131">
        <v>7000</v>
      </c>
      <c r="I912" s="207">
        <f t="shared" si="52"/>
        <v>1</v>
      </c>
      <c r="J912" s="207">
        <f>H912/$H$1431</f>
        <v>0.00010450645792199998</v>
      </c>
    </row>
    <row r="913" spans="1:10" ht="12.75">
      <c r="A913" s="147">
        <f t="shared" si="51"/>
        <v>832</v>
      </c>
      <c r="B913" s="4"/>
      <c r="C913" s="79" t="s">
        <v>144</v>
      </c>
      <c r="D913" s="25"/>
      <c r="E913" s="46"/>
      <c r="F913" s="131">
        <v>570</v>
      </c>
      <c r="G913" s="131">
        <v>570</v>
      </c>
      <c r="H913" s="131">
        <v>570</v>
      </c>
      <c r="I913" s="207">
        <f t="shared" si="52"/>
        <v>1</v>
      </c>
      <c r="J913" s="207">
        <f>H913/$H$1431</f>
        <v>8.50981157364857E-06</v>
      </c>
    </row>
    <row r="914" spans="1:10" ht="12.75">
      <c r="A914" s="147">
        <f t="shared" si="51"/>
        <v>833</v>
      </c>
      <c r="B914" s="4"/>
      <c r="C914" s="79" t="s">
        <v>44</v>
      </c>
      <c r="D914" s="25"/>
      <c r="E914" s="46"/>
      <c r="F914" s="131">
        <v>2200</v>
      </c>
      <c r="G914" s="131">
        <v>2200</v>
      </c>
      <c r="H914" s="131">
        <v>2500</v>
      </c>
      <c r="I914" s="207">
        <f t="shared" si="52"/>
        <v>1.1363636363636365</v>
      </c>
      <c r="J914" s="207">
        <f>H914/$H$1431</f>
        <v>3.7323734972142854E-05</v>
      </c>
    </row>
    <row r="915" spans="1:10" ht="12.75">
      <c r="A915" s="147">
        <f t="shared" si="51"/>
        <v>834</v>
      </c>
      <c r="B915" s="4">
        <v>4220</v>
      </c>
      <c r="C915" s="79" t="s">
        <v>137</v>
      </c>
      <c r="D915" s="25"/>
      <c r="E915" s="46"/>
      <c r="F915" s="131">
        <f>SUM(F917:F919)</f>
        <v>187740</v>
      </c>
      <c r="G915" s="131">
        <f>SUM(G917:G919)</f>
        <v>187740</v>
      </c>
      <c r="H915" s="131">
        <f>SUM(H917:H919)</f>
        <v>192040</v>
      </c>
      <c r="I915" s="207">
        <f t="shared" si="52"/>
        <v>1.0229040161926068</v>
      </c>
      <c r="J915" s="207">
        <f>H915/$H$1431</f>
        <v>0.002867060025620125</v>
      </c>
    </row>
    <row r="916" spans="1:10" ht="12.75">
      <c r="A916" s="147">
        <f t="shared" si="51"/>
        <v>835</v>
      </c>
      <c r="B916" s="4"/>
      <c r="C916" s="79" t="s">
        <v>15</v>
      </c>
      <c r="D916" s="25"/>
      <c r="E916" s="46"/>
      <c r="F916" s="131"/>
      <c r="G916" s="131"/>
      <c r="H916" s="131"/>
      <c r="I916" s="207"/>
      <c r="J916" s="207"/>
    </row>
    <row r="917" spans="1:10" ht="12.75">
      <c r="A917" s="147">
        <f t="shared" si="51"/>
        <v>836</v>
      </c>
      <c r="B917" s="4"/>
      <c r="C917" s="79" t="s">
        <v>143</v>
      </c>
      <c r="D917" s="25"/>
      <c r="E917" s="46"/>
      <c r="F917" s="131">
        <v>82500</v>
      </c>
      <c r="G917" s="131">
        <v>82500</v>
      </c>
      <c r="H917" s="131">
        <v>85800</v>
      </c>
      <c r="I917" s="207">
        <f t="shared" si="52"/>
        <v>1.04</v>
      </c>
      <c r="J917" s="207">
        <f>H917/$H$1431</f>
        <v>0.0012809505842439426</v>
      </c>
    </row>
    <row r="918" spans="1:10" ht="12.75">
      <c r="A918" s="147">
        <f t="shared" si="51"/>
        <v>837</v>
      </c>
      <c r="B918" s="4"/>
      <c r="C918" s="79" t="s">
        <v>144</v>
      </c>
      <c r="D918" s="25"/>
      <c r="E918" s="46"/>
      <c r="F918" s="131">
        <v>27540</v>
      </c>
      <c r="G918" s="131">
        <v>27540</v>
      </c>
      <c r="H918" s="131">
        <v>24840</v>
      </c>
      <c r="I918" s="207">
        <f t="shared" si="52"/>
        <v>0.9019607843137255</v>
      </c>
      <c r="J918" s="207">
        <f>H918/$H$1431</f>
        <v>0.0003708486306832114</v>
      </c>
    </row>
    <row r="919" spans="1:10" ht="12.75">
      <c r="A919" s="147">
        <f t="shared" si="51"/>
        <v>838</v>
      </c>
      <c r="B919" s="4"/>
      <c r="C919" s="79" t="s">
        <v>44</v>
      </c>
      <c r="D919" s="25"/>
      <c r="E919" s="46"/>
      <c r="F919" s="131">
        <v>77700</v>
      </c>
      <c r="G919" s="131">
        <v>77700</v>
      </c>
      <c r="H919" s="131">
        <v>81400</v>
      </c>
      <c r="I919" s="207">
        <f t="shared" si="52"/>
        <v>1.0476190476190477</v>
      </c>
      <c r="J919" s="207">
        <f>H919/$H$1431</f>
        <v>0.0012152608106929712</v>
      </c>
    </row>
    <row r="920" spans="1:10" ht="12.75">
      <c r="A920" s="147">
        <f t="shared" si="51"/>
        <v>839</v>
      </c>
      <c r="B920" s="4">
        <v>4260</v>
      </c>
      <c r="C920" s="79" t="s">
        <v>134</v>
      </c>
      <c r="D920" s="25"/>
      <c r="E920" s="46"/>
      <c r="F920" s="131">
        <f>SUM(F922:F924)</f>
        <v>13500</v>
      </c>
      <c r="G920" s="131">
        <f>SUM(G922:G924)</f>
        <v>13500</v>
      </c>
      <c r="H920" s="131">
        <f>SUM(H922:H924)</f>
        <v>18600</v>
      </c>
      <c r="I920" s="207">
        <f t="shared" si="52"/>
        <v>1.3777777777777778</v>
      </c>
      <c r="J920" s="207">
        <f>H920/$H$1431</f>
        <v>0.00027768858819274283</v>
      </c>
    </row>
    <row r="921" spans="1:10" ht="12.75">
      <c r="A921" s="147">
        <f aca="true" t="shared" si="53" ref="A921:A984">A920+1</f>
        <v>840</v>
      </c>
      <c r="B921" s="4"/>
      <c r="C921" s="79" t="s">
        <v>15</v>
      </c>
      <c r="D921" s="25"/>
      <c r="E921" s="46"/>
      <c r="F921" s="131"/>
      <c r="G921" s="131"/>
      <c r="H921" s="131"/>
      <c r="I921" s="207"/>
      <c r="J921" s="207"/>
    </row>
    <row r="922" spans="1:10" ht="12.75">
      <c r="A922" s="147">
        <f t="shared" si="53"/>
        <v>841</v>
      </c>
      <c r="B922" s="4"/>
      <c r="C922" s="79" t="s">
        <v>143</v>
      </c>
      <c r="D922" s="25"/>
      <c r="E922" s="46"/>
      <c r="F922" s="131">
        <v>10200</v>
      </c>
      <c r="G922" s="131">
        <v>10200</v>
      </c>
      <c r="H922" s="131">
        <v>15000</v>
      </c>
      <c r="I922" s="207">
        <f t="shared" si="52"/>
        <v>1.4705882352941178</v>
      </c>
      <c r="J922" s="207">
        <f>H922/$H$1431</f>
        <v>0.0002239424098328571</v>
      </c>
    </row>
    <row r="923" spans="1:10" ht="12.75">
      <c r="A923" s="147">
        <f t="shared" si="53"/>
        <v>842</v>
      </c>
      <c r="B923" s="4"/>
      <c r="C923" s="79" t="s">
        <v>144</v>
      </c>
      <c r="D923" s="25"/>
      <c r="E923" s="46"/>
      <c r="F923" s="131">
        <v>1100</v>
      </c>
      <c r="G923" s="131">
        <v>1100</v>
      </c>
      <c r="H923" s="131">
        <v>1100</v>
      </c>
      <c r="I923" s="207">
        <f t="shared" si="52"/>
        <v>1</v>
      </c>
      <c r="J923" s="207">
        <f>H923/$H$1431</f>
        <v>1.6422443387742855E-05</v>
      </c>
    </row>
    <row r="924" spans="1:10" ht="12.75">
      <c r="A924" s="147">
        <f t="shared" si="53"/>
        <v>843</v>
      </c>
      <c r="B924" s="4"/>
      <c r="C924" s="79" t="s">
        <v>44</v>
      </c>
      <c r="D924" s="25"/>
      <c r="E924" s="46"/>
      <c r="F924" s="131">
        <v>2200</v>
      </c>
      <c r="G924" s="131">
        <v>2200</v>
      </c>
      <c r="H924" s="131">
        <v>2500</v>
      </c>
      <c r="I924" s="207">
        <f t="shared" si="52"/>
        <v>1.1363636363636365</v>
      </c>
      <c r="J924" s="207">
        <f>H924/$H$1431</f>
        <v>3.7323734972142854E-05</v>
      </c>
    </row>
    <row r="925" spans="1:10" ht="12.75">
      <c r="A925" s="147">
        <f t="shared" si="53"/>
        <v>844</v>
      </c>
      <c r="B925" s="4">
        <v>4270</v>
      </c>
      <c r="C925" s="79" t="s">
        <v>131</v>
      </c>
      <c r="D925" s="25"/>
      <c r="E925" s="46"/>
      <c r="F925" s="131">
        <f>SUM(F927:F929)</f>
        <v>5400</v>
      </c>
      <c r="G925" s="131">
        <f>SUM(G927:G929)</f>
        <v>5400</v>
      </c>
      <c r="H925" s="131">
        <f>SUM(H927:H929)</f>
        <v>5500</v>
      </c>
      <c r="I925" s="207">
        <f t="shared" si="52"/>
        <v>1.0185185185185186</v>
      </c>
      <c r="J925" s="207">
        <f>H925/$H$1431</f>
        <v>8.211221693871427E-05</v>
      </c>
    </row>
    <row r="926" spans="1:10" ht="12.75">
      <c r="A926" s="147">
        <f t="shared" si="53"/>
        <v>845</v>
      </c>
      <c r="B926" s="4"/>
      <c r="C926" s="79" t="s">
        <v>15</v>
      </c>
      <c r="D926" s="25"/>
      <c r="E926" s="46"/>
      <c r="F926" s="131"/>
      <c r="G926" s="131"/>
      <c r="H926" s="131"/>
      <c r="I926" s="207"/>
      <c r="J926" s="207"/>
    </row>
    <row r="927" spans="1:10" ht="12.75">
      <c r="A927" s="147">
        <f t="shared" si="53"/>
        <v>846</v>
      </c>
      <c r="B927" s="4"/>
      <c r="C927" s="79" t="s">
        <v>143</v>
      </c>
      <c r="D927" s="25"/>
      <c r="E927" s="46"/>
      <c r="F927" s="131">
        <v>5000</v>
      </c>
      <c r="G927" s="131">
        <v>5000</v>
      </c>
      <c r="H927" s="131">
        <v>5000</v>
      </c>
      <c r="I927" s="207">
        <f t="shared" si="52"/>
        <v>1</v>
      </c>
      <c r="J927" s="207">
        <f>H927/$H$1431</f>
        <v>7.464746994428571E-05</v>
      </c>
    </row>
    <row r="928" spans="1:10" ht="12.75">
      <c r="A928" s="147">
        <f t="shared" si="53"/>
        <v>847</v>
      </c>
      <c r="B928" s="4"/>
      <c r="C928" s="79" t="s">
        <v>144</v>
      </c>
      <c r="D928" s="25"/>
      <c r="E928" s="46"/>
      <c r="F928" s="131">
        <v>400</v>
      </c>
      <c r="G928" s="131">
        <v>400</v>
      </c>
      <c r="H928" s="131">
        <v>500</v>
      </c>
      <c r="I928" s="207">
        <f t="shared" si="52"/>
        <v>1.25</v>
      </c>
      <c r="J928" s="207">
        <f>H928/$H$1431</f>
        <v>7.464746994428571E-06</v>
      </c>
    </row>
    <row r="929" spans="1:10" ht="12.75">
      <c r="A929" s="147">
        <f t="shared" si="53"/>
        <v>848</v>
      </c>
      <c r="B929" s="4"/>
      <c r="C929" s="79" t="s">
        <v>380</v>
      </c>
      <c r="D929" s="25"/>
      <c r="E929" s="46"/>
      <c r="F929" s="131">
        <v>0</v>
      </c>
      <c r="G929" s="131">
        <v>0</v>
      </c>
      <c r="H929" s="131">
        <v>0</v>
      </c>
      <c r="I929" s="207"/>
      <c r="J929" s="207"/>
    </row>
    <row r="930" spans="1:10" ht="12.75">
      <c r="A930" s="147">
        <f t="shared" si="53"/>
        <v>849</v>
      </c>
      <c r="B930" s="4">
        <v>4300</v>
      </c>
      <c r="C930" s="79" t="s">
        <v>130</v>
      </c>
      <c r="D930" s="25"/>
      <c r="E930" s="46"/>
      <c r="F930" s="131">
        <f>SUM(F932:F934)</f>
        <v>400</v>
      </c>
      <c r="G930" s="131">
        <f>SUM(G932:G934)</f>
        <v>400</v>
      </c>
      <c r="H930" s="131">
        <f>SUM(H932:H934)</f>
        <v>500</v>
      </c>
      <c r="I930" s="207">
        <f t="shared" si="52"/>
        <v>1.25</v>
      </c>
      <c r="J930" s="207">
        <f>H930/$H$1431</f>
        <v>7.464746994428571E-06</v>
      </c>
    </row>
    <row r="931" spans="1:10" ht="12.75">
      <c r="A931" s="147">
        <f t="shared" si="53"/>
        <v>850</v>
      </c>
      <c r="B931" s="4"/>
      <c r="C931" s="79" t="s">
        <v>15</v>
      </c>
      <c r="D931" s="25"/>
      <c r="E931" s="46"/>
      <c r="F931" s="131"/>
      <c r="G931" s="131"/>
      <c r="H931" s="131"/>
      <c r="I931" s="207"/>
      <c r="J931" s="207"/>
    </row>
    <row r="932" spans="1:10" ht="12.75">
      <c r="A932" s="147">
        <f t="shared" si="53"/>
        <v>851</v>
      </c>
      <c r="B932" s="4"/>
      <c r="C932" s="79" t="s">
        <v>143</v>
      </c>
      <c r="D932" s="25"/>
      <c r="E932" s="46"/>
      <c r="F932" s="131">
        <v>0</v>
      </c>
      <c r="G932" s="131">
        <v>0</v>
      </c>
      <c r="H932" s="131">
        <v>0</v>
      </c>
      <c r="I932" s="207"/>
      <c r="J932" s="207">
        <f>H932/$H$1431</f>
        <v>0</v>
      </c>
    </row>
    <row r="933" spans="1:10" ht="12.75">
      <c r="A933" s="147">
        <f t="shared" si="53"/>
        <v>852</v>
      </c>
      <c r="B933" s="4"/>
      <c r="C933" s="79" t="s">
        <v>144</v>
      </c>
      <c r="D933" s="25"/>
      <c r="E933" s="46"/>
      <c r="F933" s="131">
        <v>400</v>
      </c>
      <c r="G933" s="131">
        <v>400</v>
      </c>
      <c r="H933" s="131">
        <v>500</v>
      </c>
      <c r="I933" s="207">
        <f t="shared" si="52"/>
        <v>1.25</v>
      </c>
      <c r="J933" s="207">
        <f>H933/$H$1431</f>
        <v>7.464746994428571E-06</v>
      </c>
    </row>
    <row r="934" spans="1:10" ht="12.75">
      <c r="A934" s="147">
        <f t="shared" si="53"/>
        <v>853</v>
      </c>
      <c r="B934" s="4"/>
      <c r="C934" s="79" t="s">
        <v>380</v>
      </c>
      <c r="D934" s="25"/>
      <c r="E934" s="46"/>
      <c r="F934" s="131">
        <v>0</v>
      </c>
      <c r="G934" s="131">
        <v>0</v>
      </c>
      <c r="H934" s="131">
        <v>0</v>
      </c>
      <c r="I934" s="207"/>
      <c r="J934" s="207"/>
    </row>
    <row r="935" spans="1:10" ht="12.75">
      <c r="A935" s="147">
        <f t="shared" si="53"/>
        <v>854</v>
      </c>
      <c r="B935" s="4">
        <v>4440</v>
      </c>
      <c r="C935" s="79" t="s">
        <v>436</v>
      </c>
      <c r="D935" s="25"/>
      <c r="E935" s="46"/>
      <c r="F935" s="131">
        <f>SUM(F937:F939)</f>
        <v>6450</v>
      </c>
      <c r="G935" s="131">
        <f>SUM(G937:G939)</f>
        <v>6450</v>
      </c>
      <c r="H935" s="131">
        <f>SUM(H937:H939)</f>
        <v>6900</v>
      </c>
      <c r="I935" s="207">
        <f t="shared" si="52"/>
        <v>1.069767441860465</v>
      </c>
      <c r="J935" s="207">
        <f>H935/$H$1431</f>
        <v>0.00010301350852311427</v>
      </c>
    </row>
    <row r="936" spans="1:10" ht="12.75">
      <c r="A936" s="147">
        <f t="shared" si="53"/>
        <v>855</v>
      </c>
      <c r="B936" s="4"/>
      <c r="C936" s="79" t="s">
        <v>15</v>
      </c>
      <c r="D936" s="25"/>
      <c r="E936" s="46"/>
      <c r="F936" s="131"/>
      <c r="G936" s="131"/>
      <c r="H936" s="131"/>
      <c r="I936" s="207"/>
      <c r="J936" s="207"/>
    </row>
    <row r="937" spans="1:10" ht="12.75">
      <c r="A937" s="147">
        <f t="shared" si="53"/>
        <v>856</v>
      </c>
      <c r="B937" s="4"/>
      <c r="C937" s="79" t="s">
        <v>143</v>
      </c>
      <c r="D937" s="25"/>
      <c r="E937" s="46"/>
      <c r="F937" s="131">
        <v>2700</v>
      </c>
      <c r="G937" s="131">
        <v>2700</v>
      </c>
      <c r="H937" s="131">
        <v>2900</v>
      </c>
      <c r="I937" s="207">
        <f t="shared" si="52"/>
        <v>1.0740740740740742</v>
      </c>
      <c r="J937" s="207">
        <f>H937/$H$1431</f>
        <v>4.329553256768571E-05</v>
      </c>
    </row>
    <row r="938" spans="1:10" ht="12.75">
      <c r="A938" s="147">
        <f t="shared" si="53"/>
        <v>857</v>
      </c>
      <c r="B938" s="4"/>
      <c r="C938" s="79" t="s">
        <v>144</v>
      </c>
      <c r="D938" s="25"/>
      <c r="E938" s="46"/>
      <c r="F938" s="131">
        <v>1050</v>
      </c>
      <c r="G938" s="131">
        <v>1050</v>
      </c>
      <c r="H938" s="131">
        <v>1300</v>
      </c>
      <c r="I938" s="207">
        <f t="shared" si="52"/>
        <v>1.2380952380952381</v>
      </c>
      <c r="J938" s="207">
        <f>H938/$H$1431</f>
        <v>1.9408342185514283E-05</v>
      </c>
    </row>
    <row r="939" spans="1:10" ht="12.75">
      <c r="A939" s="147">
        <f t="shared" si="53"/>
        <v>858</v>
      </c>
      <c r="B939" s="4"/>
      <c r="C939" s="79" t="s">
        <v>380</v>
      </c>
      <c r="D939" s="25"/>
      <c r="E939" s="46"/>
      <c r="F939" s="131">
        <v>2700</v>
      </c>
      <c r="G939" s="131">
        <v>2700</v>
      </c>
      <c r="H939" s="131">
        <v>2700</v>
      </c>
      <c r="I939" s="207">
        <f t="shared" si="52"/>
        <v>1</v>
      </c>
      <c r="J939" s="207">
        <f>H939/$H$1431</f>
        <v>4.030963376991428E-05</v>
      </c>
    </row>
    <row r="940" spans="1:10" s="73" customFormat="1" ht="12.75">
      <c r="A940" s="147">
        <f t="shared" si="53"/>
        <v>859</v>
      </c>
      <c r="B940" s="62">
        <v>80195</v>
      </c>
      <c r="C940" s="68" t="s">
        <v>25</v>
      </c>
      <c r="D940" s="63"/>
      <c r="E940" s="64" t="e">
        <f>E946++#REF!+E951+E958</f>
        <v>#REF!</v>
      </c>
      <c r="F940" s="63">
        <f>F941+F945+F946+F950+F952+F958</f>
        <v>12863535</v>
      </c>
      <c r="G940" s="63">
        <f>G941+G945+G946+G950+G952+G958</f>
        <v>11305834.72</v>
      </c>
      <c r="H940" s="63">
        <f>H941+H945+H946+H950+H952+H958</f>
        <v>1860288</v>
      </c>
      <c r="I940" s="207">
        <f t="shared" si="52"/>
        <v>0.16454229573241097</v>
      </c>
      <c r="J940" s="207">
        <f>H940/$H$1431</f>
        <v>0.027773158513543072</v>
      </c>
    </row>
    <row r="941" spans="1:10" s="60" customFormat="1" ht="12.75">
      <c r="A941" s="147">
        <f t="shared" si="53"/>
        <v>860</v>
      </c>
      <c r="B941" s="85">
        <v>4010</v>
      </c>
      <c r="C941" s="79" t="s">
        <v>172</v>
      </c>
      <c r="D941" s="84"/>
      <c r="E941" s="83"/>
      <c r="F941" s="136">
        <f>SUM(F943:F944)</f>
        <v>16300</v>
      </c>
      <c r="G941" s="136">
        <f>SUM(G943:G944)</f>
        <v>16300</v>
      </c>
      <c r="H941" s="136">
        <f>SUM(H943:H944)</f>
        <v>21400</v>
      </c>
      <c r="I941" s="207">
        <f t="shared" si="52"/>
        <v>1.312883435582822</v>
      </c>
      <c r="J941" s="207">
        <f>H941/$H$1431</f>
        <v>0.00031949117136154283</v>
      </c>
    </row>
    <row r="942" spans="1:10" s="60" customFormat="1" ht="12.75">
      <c r="A942" s="147">
        <f t="shared" si="53"/>
        <v>861</v>
      </c>
      <c r="B942" s="85"/>
      <c r="C942" s="79" t="s">
        <v>15</v>
      </c>
      <c r="D942" s="84"/>
      <c r="E942" s="83"/>
      <c r="F942" s="136"/>
      <c r="G942" s="136"/>
      <c r="H942" s="136"/>
      <c r="I942" s="207"/>
      <c r="J942" s="207"/>
    </row>
    <row r="943" spans="1:10" s="60" customFormat="1" ht="12.75">
      <c r="A943" s="147">
        <f t="shared" si="53"/>
        <v>862</v>
      </c>
      <c r="B943" s="85"/>
      <c r="C943" s="79" t="s">
        <v>291</v>
      </c>
      <c r="D943" s="84"/>
      <c r="E943" s="83"/>
      <c r="F943" s="136">
        <v>6300</v>
      </c>
      <c r="G943" s="136">
        <v>6300</v>
      </c>
      <c r="H943" s="136">
        <v>6400</v>
      </c>
      <c r="I943" s="207">
        <f t="shared" si="52"/>
        <v>1.0158730158730158</v>
      </c>
      <c r="J943" s="207">
        <f>H943/$H$1431</f>
        <v>9.55487615286857E-05</v>
      </c>
    </row>
    <row r="944" spans="1:10" s="60" customFormat="1" ht="12.75">
      <c r="A944" s="147">
        <f t="shared" si="53"/>
        <v>863</v>
      </c>
      <c r="B944" s="85"/>
      <c r="C944" s="79" t="s">
        <v>292</v>
      </c>
      <c r="D944" s="84"/>
      <c r="E944" s="83"/>
      <c r="F944" s="136">
        <v>10000</v>
      </c>
      <c r="G944" s="136">
        <v>10000</v>
      </c>
      <c r="H944" s="136">
        <v>15000</v>
      </c>
      <c r="I944" s="207">
        <f t="shared" si="52"/>
        <v>1.5</v>
      </c>
      <c r="J944" s="207">
        <f>H944/$H$1431</f>
        <v>0.0002239424098328571</v>
      </c>
    </row>
    <row r="945" spans="1:10" s="60" customFormat="1" ht="12.75">
      <c r="A945" s="147">
        <f t="shared" si="53"/>
        <v>864</v>
      </c>
      <c r="B945" s="85">
        <v>4170</v>
      </c>
      <c r="C945" s="103" t="s">
        <v>517</v>
      </c>
      <c r="D945" s="84"/>
      <c r="E945" s="83"/>
      <c r="F945" s="136">
        <v>2400</v>
      </c>
      <c r="G945" s="136">
        <v>2400</v>
      </c>
      <c r="H945" s="136">
        <v>2400</v>
      </c>
      <c r="I945" s="207">
        <f t="shared" si="52"/>
        <v>1</v>
      </c>
      <c r="J945" s="207">
        <f>H945/$H$1431</f>
        <v>3.5830785573257135E-05</v>
      </c>
    </row>
    <row r="946" spans="1:10" ht="12.75">
      <c r="A946" s="147">
        <f t="shared" si="53"/>
        <v>865</v>
      </c>
      <c r="B946" s="4">
        <v>4210</v>
      </c>
      <c r="C946" s="79" t="s">
        <v>140</v>
      </c>
      <c r="D946" s="25"/>
      <c r="E946" s="46">
        <v>2600</v>
      </c>
      <c r="F946" s="131">
        <v>8743</v>
      </c>
      <c r="G946" s="131">
        <v>1042.72</v>
      </c>
      <c r="H946" s="131">
        <v>1200</v>
      </c>
      <c r="I946" s="207">
        <f t="shared" si="52"/>
        <v>1.1508362743593679</v>
      </c>
      <c r="J946" s="207">
        <f>H946/$H$1431</f>
        <v>1.7915392786628567E-05</v>
      </c>
    </row>
    <row r="947" spans="1:10" ht="12.75">
      <c r="A947" s="147"/>
      <c r="B947" s="4"/>
      <c r="C947" s="79"/>
      <c r="D947" s="25"/>
      <c r="E947" s="46"/>
      <c r="F947" s="131"/>
      <c r="G947" s="131"/>
      <c r="H947" s="131"/>
      <c r="I947" s="207"/>
      <c r="J947" s="207"/>
    </row>
    <row r="948" spans="1:10" ht="12.75">
      <c r="A948" s="147">
        <f>A946+1</f>
        <v>866</v>
      </c>
      <c r="B948" s="4">
        <v>4300</v>
      </c>
      <c r="C948" s="79" t="s">
        <v>358</v>
      </c>
      <c r="D948" s="25"/>
      <c r="E948" s="46"/>
      <c r="F948" s="131"/>
      <c r="G948" s="131"/>
      <c r="H948" s="131"/>
      <c r="I948" s="207"/>
      <c r="J948" s="207"/>
    </row>
    <row r="949" spans="1:10" ht="12.75">
      <c r="A949" s="147">
        <f t="shared" si="53"/>
        <v>867</v>
      </c>
      <c r="B949" s="4"/>
      <c r="C949" s="79" t="s">
        <v>359</v>
      </c>
      <c r="D949" s="25"/>
      <c r="E949" s="46"/>
      <c r="F949" s="131"/>
      <c r="G949" s="131"/>
      <c r="H949" s="131"/>
      <c r="I949" s="207"/>
      <c r="J949" s="207"/>
    </row>
    <row r="950" spans="1:10" ht="12.75">
      <c r="A950" s="147">
        <f t="shared" si="53"/>
        <v>868</v>
      </c>
      <c r="B950" s="4"/>
      <c r="C950" s="79" t="s">
        <v>360</v>
      </c>
      <c r="D950" s="25"/>
      <c r="E950" s="46"/>
      <c r="F950" s="131">
        <v>70689</v>
      </c>
      <c r="G950" s="131">
        <v>70689</v>
      </c>
      <c r="H950" s="131">
        <v>50000</v>
      </c>
      <c r="I950" s="207">
        <f t="shared" si="52"/>
        <v>0.7073236288531455</v>
      </c>
      <c r="J950" s="207">
        <f>H950/$H$1431</f>
        <v>0.000746474699442857</v>
      </c>
    </row>
    <row r="951" spans="1:10" ht="12.75">
      <c r="A951" s="147">
        <f t="shared" si="53"/>
        <v>869</v>
      </c>
      <c r="B951" s="4">
        <v>4440</v>
      </c>
      <c r="C951" s="79" t="s">
        <v>437</v>
      </c>
      <c r="D951" s="25"/>
      <c r="E951" s="46">
        <v>0</v>
      </c>
      <c r="F951" s="131"/>
      <c r="G951" s="131"/>
      <c r="H951" s="131"/>
      <c r="I951" s="207"/>
      <c r="J951" s="207"/>
    </row>
    <row r="952" spans="1:10" ht="12.75">
      <c r="A952" s="147">
        <f t="shared" si="53"/>
        <v>870</v>
      </c>
      <c r="B952" s="4"/>
      <c r="C952" s="79" t="s">
        <v>225</v>
      </c>
      <c r="D952" s="25"/>
      <c r="E952" s="46"/>
      <c r="F952" s="131">
        <f>SUM(F954:F957)</f>
        <v>45310</v>
      </c>
      <c r="G952" s="131">
        <f>SUM(G954:G957)</f>
        <v>45310</v>
      </c>
      <c r="H952" s="131">
        <f>SUM(H954:H957)</f>
        <v>48800</v>
      </c>
      <c r="I952" s="207">
        <f t="shared" si="52"/>
        <v>1.0770249393069962</v>
      </c>
      <c r="J952" s="207">
        <f>H952/$H$1431</f>
        <v>0.0007285593066562284</v>
      </c>
    </row>
    <row r="953" spans="1:10" ht="12.75">
      <c r="A953" s="147">
        <f t="shared" si="53"/>
        <v>871</v>
      </c>
      <c r="B953" s="4"/>
      <c r="C953" s="79" t="s">
        <v>15</v>
      </c>
      <c r="D953" s="25"/>
      <c r="E953" s="46"/>
      <c r="F953" s="131"/>
      <c r="G953" s="131"/>
      <c r="H953" s="131"/>
      <c r="I953" s="207"/>
      <c r="J953" s="207"/>
    </row>
    <row r="954" spans="1:10" ht="12.75">
      <c r="A954" s="147">
        <f t="shared" si="53"/>
        <v>872</v>
      </c>
      <c r="B954" s="4"/>
      <c r="C954" s="79" t="s">
        <v>143</v>
      </c>
      <c r="D954" s="25"/>
      <c r="E954" s="46"/>
      <c r="F954" s="131">
        <v>12310</v>
      </c>
      <c r="G954" s="131">
        <v>12310</v>
      </c>
      <c r="H954" s="131">
        <v>12200</v>
      </c>
      <c r="I954" s="207">
        <f t="shared" si="52"/>
        <v>0.9910641754670999</v>
      </c>
      <c r="J954" s="207">
        <f>H954/$H$1431</f>
        <v>0.0001821398266640571</v>
      </c>
    </row>
    <row r="955" spans="1:10" ht="12.75">
      <c r="A955" s="147">
        <f t="shared" si="53"/>
        <v>873</v>
      </c>
      <c r="B955" s="4"/>
      <c r="C955" s="79" t="s">
        <v>144</v>
      </c>
      <c r="D955" s="25"/>
      <c r="E955" s="46"/>
      <c r="F955" s="131">
        <v>2500</v>
      </c>
      <c r="G955" s="131">
        <v>2500</v>
      </c>
      <c r="H955" s="131">
        <v>4000</v>
      </c>
      <c r="I955" s="207">
        <f t="shared" si="52"/>
        <v>1.6</v>
      </c>
      <c r="J955" s="207">
        <f>H955/$H$1431</f>
        <v>5.9717975955428565E-05</v>
      </c>
    </row>
    <row r="956" spans="1:10" ht="12.75">
      <c r="A956" s="147">
        <f t="shared" si="53"/>
        <v>874</v>
      </c>
      <c r="B956" s="4"/>
      <c r="C956" s="79" t="s">
        <v>44</v>
      </c>
      <c r="D956" s="25"/>
      <c r="E956" s="46"/>
      <c r="F956" s="131">
        <v>24500</v>
      </c>
      <c r="G956" s="131">
        <v>24500</v>
      </c>
      <c r="H956" s="131">
        <v>26600</v>
      </c>
      <c r="I956" s="207">
        <f t="shared" si="52"/>
        <v>1.0857142857142856</v>
      </c>
      <c r="J956" s="207">
        <f>H956/$H$1431</f>
        <v>0.0003971245401035999</v>
      </c>
    </row>
    <row r="957" spans="1:10" ht="12.75">
      <c r="A957" s="147">
        <f t="shared" si="53"/>
        <v>875</v>
      </c>
      <c r="B957" s="4"/>
      <c r="C957" s="79" t="s">
        <v>177</v>
      </c>
      <c r="D957" s="25"/>
      <c r="E957" s="46"/>
      <c r="F957" s="131">
        <v>6000</v>
      </c>
      <c r="G957" s="131">
        <v>6000</v>
      </c>
      <c r="H957" s="131">
        <v>6000</v>
      </c>
      <c r="I957" s="207">
        <f t="shared" si="52"/>
        <v>1</v>
      </c>
      <c r="J957" s="207">
        <f>H957/$H$1431</f>
        <v>8.957696393314284E-05</v>
      </c>
    </row>
    <row r="958" spans="1:10" ht="12.75">
      <c r="A958" s="147">
        <f t="shared" si="53"/>
        <v>876</v>
      </c>
      <c r="B958" s="4">
        <v>6050</v>
      </c>
      <c r="C958" s="79" t="s">
        <v>129</v>
      </c>
      <c r="D958" s="25"/>
      <c r="E958" s="45" t="e">
        <f>SUM(#REF!)</f>
        <v>#REF!</v>
      </c>
      <c r="F958" s="28">
        <f>SUM(F966:F973)</f>
        <v>12720093</v>
      </c>
      <c r="G958" s="28">
        <f>SUM(G966:G973)</f>
        <v>11170093</v>
      </c>
      <c r="H958" s="28">
        <f>SUM(H966:H973)</f>
        <v>1736488</v>
      </c>
      <c r="I958" s="207">
        <f t="shared" si="52"/>
        <v>0.15545868776562558</v>
      </c>
      <c r="J958" s="207">
        <f>H958/$H$1431</f>
        <v>0.025924887157722558</v>
      </c>
    </row>
    <row r="959" spans="1:10" ht="12.75">
      <c r="A959" s="147">
        <f t="shared" si="53"/>
        <v>877</v>
      </c>
      <c r="B959" s="4"/>
      <c r="C959" s="79" t="s">
        <v>15</v>
      </c>
      <c r="D959" s="25"/>
      <c r="E959" s="46"/>
      <c r="F959" s="131"/>
      <c r="G959" s="131"/>
      <c r="H959" s="131"/>
      <c r="I959" s="207"/>
      <c r="J959" s="207"/>
    </row>
    <row r="960" spans="1:10" ht="12.75">
      <c r="A960" s="147">
        <f t="shared" si="53"/>
        <v>878</v>
      </c>
      <c r="B960" s="4"/>
      <c r="C960" s="103" t="s">
        <v>427</v>
      </c>
      <c r="D960" s="25"/>
      <c r="E960" s="46"/>
      <c r="F960" s="131"/>
      <c r="G960" s="131"/>
      <c r="H960" s="131"/>
      <c r="I960" s="207"/>
      <c r="J960" s="207"/>
    </row>
    <row r="961" spans="1:10" ht="12.75">
      <c r="A961" s="147">
        <f t="shared" si="53"/>
        <v>879</v>
      </c>
      <c r="B961" s="4"/>
      <c r="C961" s="79" t="s">
        <v>401</v>
      </c>
      <c r="D961" s="25"/>
      <c r="E961" s="46"/>
      <c r="F961" s="131"/>
      <c r="G961" s="131"/>
      <c r="H961" s="131"/>
      <c r="I961" s="207"/>
      <c r="J961" s="207"/>
    </row>
    <row r="962" spans="1:10" ht="12.75">
      <c r="A962" s="147">
        <f t="shared" si="53"/>
        <v>880</v>
      </c>
      <c r="B962" s="4"/>
      <c r="C962" s="79" t="s">
        <v>402</v>
      </c>
      <c r="D962" s="25"/>
      <c r="E962" s="46"/>
      <c r="F962" s="131"/>
      <c r="G962" s="131"/>
      <c r="H962" s="131"/>
      <c r="I962" s="207"/>
      <c r="J962" s="207"/>
    </row>
    <row r="963" spans="1:10" ht="12.75">
      <c r="A963" s="147">
        <f t="shared" si="53"/>
        <v>881</v>
      </c>
      <c r="B963" s="4"/>
      <c r="C963" s="79" t="s">
        <v>403</v>
      </c>
      <c r="D963" s="25"/>
      <c r="E963" s="46"/>
      <c r="F963" s="131"/>
      <c r="G963" s="131"/>
      <c r="H963" s="131"/>
      <c r="I963" s="207"/>
      <c r="J963" s="207"/>
    </row>
    <row r="964" spans="1:10" ht="12.75">
      <c r="A964" s="147">
        <f t="shared" si="53"/>
        <v>882</v>
      </c>
      <c r="B964" s="4"/>
      <c r="C964" s="79" t="s">
        <v>404</v>
      </c>
      <c r="D964" s="25"/>
      <c r="E964" s="46"/>
      <c r="F964" s="131"/>
      <c r="G964" s="131"/>
      <c r="H964" s="131"/>
      <c r="I964" s="207"/>
      <c r="J964" s="207"/>
    </row>
    <row r="965" spans="1:10" ht="12.75">
      <c r="A965" s="147">
        <f t="shared" si="53"/>
        <v>883</v>
      </c>
      <c r="B965" s="4"/>
      <c r="C965" s="79" t="s">
        <v>405</v>
      </c>
      <c r="D965" s="25"/>
      <c r="E965" s="46"/>
      <c r="F965" s="131"/>
      <c r="G965" s="131"/>
      <c r="H965" s="131"/>
      <c r="I965" s="207"/>
      <c r="J965" s="207"/>
    </row>
    <row r="966" spans="1:10" ht="12.75">
      <c r="A966" s="147">
        <f t="shared" si="53"/>
        <v>884</v>
      </c>
      <c r="B966" s="4"/>
      <c r="C966" s="79" t="s">
        <v>660</v>
      </c>
      <c r="D966" s="25"/>
      <c r="E966" s="46"/>
      <c r="F966" s="131">
        <v>12650000</v>
      </c>
      <c r="G966" s="131">
        <v>11100000</v>
      </c>
      <c r="H966" s="131">
        <v>100000</v>
      </c>
      <c r="I966" s="207">
        <f t="shared" si="52"/>
        <v>0.009009009009009009</v>
      </c>
      <c r="J966" s="207">
        <f>H966/$H$1431</f>
        <v>0.001492949398885714</v>
      </c>
    </row>
    <row r="967" spans="1:10" ht="12.75">
      <c r="A967" s="147">
        <f t="shared" si="53"/>
        <v>885</v>
      </c>
      <c r="B967" s="4"/>
      <c r="C967" s="79" t="s">
        <v>397</v>
      </c>
      <c r="D967" s="25"/>
      <c r="E967" s="46"/>
      <c r="F967" s="131"/>
      <c r="G967" s="131"/>
      <c r="H967" s="131"/>
      <c r="I967" s="207"/>
      <c r="J967" s="207"/>
    </row>
    <row r="968" spans="1:10" ht="12.75">
      <c r="A968" s="147">
        <f t="shared" si="53"/>
        <v>886</v>
      </c>
      <c r="B968" s="4"/>
      <c r="C968" s="79" t="s">
        <v>406</v>
      </c>
      <c r="D968" s="25"/>
      <c r="E968" s="46"/>
      <c r="F968" s="131">
        <v>38</v>
      </c>
      <c r="G968" s="131">
        <v>38</v>
      </c>
      <c r="H968" s="131">
        <v>0</v>
      </c>
      <c r="I968" s="207">
        <f t="shared" si="52"/>
        <v>0</v>
      </c>
      <c r="J968" s="207">
        <f>H968/$H$1431</f>
        <v>0</v>
      </c>
    </row>
    <row r="969" spans="1:10" ht="12.75">
      <c r="A969" s="147">
        <f t="shared" si="53"/>
        <v>887</v>
      </c>
      <c r="B969" s="4"/>
      <c r="C969" s="79" t="s">
        <v>518</v>
      </c>
      <c r="D969" s="25"/>
      <c r="E969" s="46"/>
      <c r="F969" s="131">
        <v>70000</v>
      </c>
      <c r="G969" s="131">
        <v>70000</v>
      </c>
      <c r="H969" s="131">
        <v>875000</v>
      </c>
      <c r="I969" s="207">
        <f t="shared" si="52"/>
        <v>12.5</v>
      </c>
      <c r="J969" s="207">
        <f>H969/$H$1431</f>
        <v>0.013063307240249998</v>
      </c>
    </row>
    <row r="970" spans="1:10" ht="12.75">
      <c r="A970" s="147">
        <f t="shared" si="53"/>
        <v>888</v>
      </c>
      <c r="B970" s="4"/>
      <c r="C970" s="79" t="s">
        <v>397</v>
      </c>
      <c r="D970" s="25"/>
      <c r="E970" s="46"/>
      <c r="F970" s="131"/>
      <c r="G970" s="131"/>
      <c r="H970" s="131"/>
      <c r="I970" s="207"/>
      <c r="J970" s="207"/>
    </row>
    <row r="971" spans="1:10" ht="12.75">
      <c r="A971" s="147">
        <f t="shared" si="53"/>
        <v>889</v>
      </c>
      <c r="B971" s="4"/>
      <c r="C971" s="79" t="s">
        <v>416</v>
      </c>
      <c r="D971" s="25"/>
      <c r="E971" s="46"/>
      <c r="F971" s="131"/>
      <c r="G971" s="131"/>
      <c r="H971" s="131"/>
      <c r="I971" s="207"/>
      <c r="J971" s="207"/>
    </row>
    <row r="972" spans="1:10" ht="12.75">
      <c r="A972" s="147">
        <f t="shared" si="53"/>
        <v>890</v>
      </c>
      <c r="B972" s="4"/>
      <c r="C972" s="79" t="s">
        <v>417</v>
      </c>
      <c r="D972" s="25"/>
      <c r="E972" s="46"/>
      <c r="F972" s="131">
        <v>55</v>
      </c>
      <c r="G972" s="131">
        <v>55</v>
      </c>
      <c r="H972" s="131">
        <v>61488</v>
      </c>
      <c r="I972" s="207">
        <f t="shared" si="52"/>
        <v>1117.9636363636364</v>
      </c>
      <c r="J972" s="207">
        <f aca="true" t="shared" si="54" ref="J972:J978">H972/$H$1431</f>
        <v>0.0009179847263868479</v>
      </c>
    </row>
    <row r="973" spans="1:10" ht="12.75">
      <c r="A973" s="147">
        <f t="shared" si="53"/>
        <v>891</v>
      </c>
      <c r="B973" s="4"/>
      <c r="C973" s="79" t="s">
        <v>672</v>
      </c>
      <c r="D973" s="25"/>
      <c r="E973" s="46"/>
      <c r="F973" s="131">
        <v>0</v>
      </c>
      <c r="G973" s="131">
        <v>0</v>
      </c>
      <c r="H973" s="131">
        <v>700000</v>
      </c>
      <c r="I973" s="207"/>
      <c r="J973" s="207">
        <f t="shared" si="54"/>
        <v>0.010450645792199998</v>
      </c>
    </row>
    <row r="974" spans="1:10" s="70" customFormat="1" ht="12.75">
      <c r="A974" s="147">
        <f t="shared" si="53"/>
        <v>892</v>
      </c>
      <c r="B974" s="56">
        <v>851</v>
      </c>
      <c r="C974" s="78" t="s">
        <v>9</v>
      </c>
      <c r="D974" s="58"/>
      <c r="E974" s="59" t="e">
        <f>#REF!+E978</f>
        <v>#REF!</v>
      </c>
      <c r="F974" s="58">
        <f>F975+F978+F1010</f>
        <v>499000</v>
      </c>
      <c r="G974" s="58">
        <f>G975+G978+G1010</f>
        <v>370000</v>
      </c>
      <c r="H974" s="58">
        <f>H975+H978+H1010</f>
        <v>674600</v>
      </c>
      <c r="I974" s="207">
        <f aca="true" t="shared" si="55" ref="I974:I1039">H974/G974</f>
        <v>1.8232432432432433</v>
      </c>
      <c r="J974" s="207">
        <f t="shared" si="54"/>
        <v>0.010071436644883027</v>
      </c>
    </row>
    <row r="975" spans="1:10" s="73" customFormat="1" ht="12.75">
      <c r="A975" s="147">
        <f t="shared" si="53"/>
        <v>893</v>
      </c>
      <c r="B975" s="62">
        <v>85153</v>
      </c>
      <c r="C975" s="68" t="s">
        <v>249</v>
      </c>
      <c r="D975" s="63"/>
      <c r="E975" s="64"/>
      <c r="F975" s="63">
        <f>SUM(F976:F977)</f>
        <v>25000</v>
      </c>
      <c r="G975" s="63">
        <f>SUM(G976:G977)</f>
        <v>25000</v>
      </c>
      <c r="H975" s="63">
        <f>SUM(H976:H977)</f>
        <v>30000</v>
      </c>
      <c r="I975" s="207">
        <f t="shared" si="55"/>
        <v>1.2</v>
      </c>
      <c r="J975" s="207">
        <f t="shared" si="54"/>
        <v>0.0004478848196657142</v>
      </c>
    </row>
    <row r="976" spans="1:10" s="70" customFormat="1" ht="12.75">
      <c r="A976" s="147">
        <f t="shared" si="53"/>
        <v>894</v>
      </c>
      <c r="B976" s="14">
        <v>4210</v>
      </c>
      <c r="C976" s="116" t="s">
        <v>132</v>
      </c>
      <c r="D976" s="58"/>
      <c r="E976" s="59"/>
      <c r="F976" s="136">
        <v>10000</v>
      </c>
      <c r="G976" s="136">
        <v>10000</v>
      </c>
      <c r="H976" s="136">
        <v>15000</v>
      </c>
      <c r="I976" s="207">
        <f t="shared" si="55"/>
        <v>1.5</v>
      </c>
      <c r="J976" s="207">
        <f t="shared" si="54"/>
        <v>0.0002239424098328571</v>
      </c>
    </row>
    <row r="977" spans="1:10" s="70" customFormat="1" ht="12.75">
      <c r="A977" s="147">
        <f t="shared" si="53"/>
        <v>895</v>
      </c>
      <c r="B977" s="14">
        <v>4300</v>
      </c>
      <c r="C977" s="116" t="s">
        <v>130</v>
      </c>
      <c r="D977" s="58"/>
      <c r="E977" s="59"/>
      <c r="F977" s="136">
        <v>15000</v>
      </c>
      <c r="G977" s="136">
        <v>15000</v>
      </c>
      <c r="H977" s="136">
        <v>15000</v>
      </c>
      <c r="I977" s="207">
        <f t="shared" si="55"/>
        <v>1</v>
      </c>
      <c r="J977" s="207">
        <f t="shared" si="54"/>
        <v>0.0002239424098328571</v>
      </c>
    </row>
    <row r="978" spans="1:10" s="73" customFormat="1" ht="15" customHeight="1">
      <c r="A978" s="147">
        <f t="shared" si="53"/>
        <v>896</v>
      </c>
      <c r="B978" s="62">
        <v>85154</v>
      </c>
      <c r="C978" s="68" t="s">
        <v>46</v>
      </c>
      <c r="D978" s="63"/>
      <c r="E978" s="64" t="e">
        <f>#REF!+#REF!+#REF!+#REF!+E988+E989+E990+#REF!+#REF!+#REF!</f>
        <v>#REF!</v>
      </c>
      <c r="F978" s="63">
        <f>+F983+F984+F988+F989+F990+F992+F994+F995+F997+F999+F1004</f>
        <v>474000</v>
      </c>
      <c r="G978" s="63">
        <f>+G983+G984+G988+G989+G990+G992+G994+G995+G997+G999+G1004</f>
        <v>345000</v>
      </c>
      <c r="H978" s="63">
        <f>+H983+H984+H988+H989+H990+H992+H994+H995+H997+H999+H1004</f>
        <v>519000</v>
      </c>
      <c r="I978" s="207">
        <f t="shared" si="55"/>
        <v>1.5043478260869565</v>
      </c>
      <c r="J978" s="207">
        <f t="shared" si="54"/>
        <v>0.007748407380216856</v>
      </c>
    </row>
    <row r="979" spans="1:10" s="73" customFormat="1" ht="15" customHeight="1">
      <c r="A979" s="147">
        <f t="shared" si="53"/>
        <v>897</v>
      </c>
      <c r="B979" s="85">
        <v>2820</v>
      </c>
      <c r="C979" s="79" t="s">
        <v>708</v>
      </c>
      <c r="D979" s="63"/>
      <c r="E979" s="72"/>
      <c r="F979" s="138"/>
      <c r="G979" s="138"/>
      <c r="H979" s="138"/>
      <c r="I979" s="207"/>
      <c r="J979" s="207"/>
    </row>
    <row r="980" spans="1:10" s="73" customFormat="1" ht="15" customHeight="1">
      <c r="A980" s="147">
        <f t="shared" si="53"/>
        <v>898</v>
      </c>
      <c r="B980" s="85"/>
      <c r="C980" s="79" t="s">
        <v>199</v>
      </c>
      <c r="D980" s="63"/>
      <c r="E980" s="72"/>
      <c r="F980" s="138"/>
      <c r="G980" s="138"/>
      <c r="H980" s="138"/>
      <c r="I980" s="207"/>
      <c r="J980" s="207"/>
    </row>
    <row r="981" spans="1:10" s="73" customFormat="1" ht="15" customHeight="1">
      <c r="A981" s="147">
        <f t="shared" si="53"/>
        <v>899</v>
      </c>
      <c r="B981" s="6"/>
      <c r="C981" s="79" t="s">
        <v>438</v>
      </c>
      <c r="D981" s="63"/>
      <c r="E981" s="72"/>
      <c r="F981" s="138"/>
      <c r="G981" s="138"/>
      <c r="H981" s="138"/>
      <c r="I981" s="207"/>
      <c r="J981" s="207"/>
    </row>
    <row r="982" spans="1:10" s="73" customFormat="1" ht="15" customHeight="1">
      <c r="A982" s="147">
        <f t="shared" si="53"/>
        <v>900</v>
      </c>
      <c r="B982" s="6"/>
      <c r="C982" s="79" t="s">
        <v>439</v>
      </c>
      <c r="D982" s="63"/>
      <c r="E982" s="72"/>
      <c r="F982" s="138"/>
      <c r="G982" s="138"/>
      <c r="H982" s="138"/>
      <c r="I982" s="207"/>
      <c r="J982" s="207"/>
    </row>
    <row r="983" spans="1:10" s="73" customFormat="1" ht="15" customHeight="1">
      <c r="A983" s="147">
        <f t="shared" si="53"/>
        <v>901</v>
      </c>
      <c r="B983" s="6"/>
      <c r="C983" s="79" t="s">
        <v>440</v>
      </c>
      <c r="D983" s="63"/>
      <c r="E983" s="72"/>
      <c r="F983" s="131">
        <v>80000</v>
      </c>
      <c r="G983" s="131">
        <v>80000</v>
      </c>
      <c r="H983" s="131">
        <v>80000</v>
      </c>
      <c r="I983" s="207">
        <f t="shared" si="55"/>
        <v>1</v>
      </c>
      <c r="J983" s="207">
        <f>H983/$H$1431</f>
        <v>0.0011943595191085713</v>
      </c>
    </row>
    <row r="984" spans="1:10" ht="12.75">
      <c r="A984" s="147">
        <f t="shared" si="53"/>
        <v>902</v>
      </c>
      <c r="B984" s="6">
        <v>4170</v>
      </c>
      <c r="C984" s="79" t="s">
        <v>211</v>
      </c>
      <c r="D984" s="25"/>
      <c r="E984" s="46"/>
      <c r="F984" s="136">
        <f>SUM(F986:F987)</f>
        <v>60000</v>
      </c>
      <c r="G984" s="136">
        <f>SUM(G986:G987)</f>
        <v>60000</v>
      </c>
      <c r="H984" s="136">
        <f>SUM(H986:H987)</f>
        <v>60000</v>
      </c>
      <c r="I984" s="207">
        <f t="shared" si="55"/>
        <v>1</v>
      </c>
      <c r="J984" s="207">
        <f>H984/$H$1431</f>
        <v>0.0008957696393314284</v>
      </c>
    </row>
    <row r="985" spans="1:10" ht="12.75">
      <c r="A985" s="147">
        <f aca="true" t="shared" si="56" ref="A985:A1054">A984+1</f>
        <v>903</v>
      </c>
      <c r="B985" s="6"/>
      <c r="C985" s="79" t="s">
        <v>15</v>
      </c>
      <c r="D985" s="25"/>
      <c r="E985" s="46"/>
      <c r="F985" s="136"/>
      <c r="G985" s="136"/>
      <c r="H985" s="136"/>
      <c r="I985" s="207"/>
      <c r="J985" s="207"/>
    </row>
    <row r="986" spans="1:10" ht="12.75">
      <c r="A986" s="147">
        <f t="shared" si="56"/>
        <v>904</v>
      </c>
      <c r="B986" s="6"/>
      <c r="C986" s="79" t="s">
        <v>226</v>
      </c>
      <c r="D986" s="25"/>
      <c r="E986" s="46"/>
      <c r="F986" s="136">
        <v>15000</v>
      </c>
      <c r="G986" s="136">
        <v>15000</v>
      </c>
      <c r="H986" s="136">
        <v>15000</v>
      </c>
      <c r="I986" s="207">
        <f t="shared" si="55"/>
        <v>1</v>
      </c>
      <c r="J986" s="207">
        <f>H986/$H$1431</f>
        <v>0.0002239424098328571</v>
      </c>
    </row>
    <row r="987" spans="1:10" ht="12.75">
      <c r="A987" s="147">
        <f t="shared" si="56"/>
        <v>905</v>
      </c>
      <c r="B987" s="6"/>
      <c r="C987" s="79" t="s">
        <v>227</v>
      </c>
      <c r="D987" s="25"/>
      <c r="E987" s="46"/>
      <c r="F987" s="136">
        <v>45000</v>
      </c>
      <c r="G987" s="136">
        <v>45000</v>
      </c>
      <c r="H987" s="136">
        <v>45000</v>
      </c>
      <c r="I987" s="207">
        <f t="shared" si="55"/>
        <v>1</v>
      </c>
      <c r="J987" s="207">
        <f>H987/$H$1431</f>
        <v>0.0006718272294985714</v>
      </c>
    </row>
    <row r="988" spans="1:10" s="32" customFormat="1" ht="12.75">
      <c r="A988" s="147">
        <f t="shared" si="56"/>
        <v>906</v>
      </c>
      <c r="B988" s="14">
        <v>4210</v>
      </c>
      <c r="C988" s="116" t="s">
        <v>132</v>
      </c>
      <c r="D988" s="25"/>
      <c r="E988" s="46">
        <v>5000</v>
      </c>
      <c r="F988" s="136">
        <v>29800</v>
      </c>
      <c r="G988" s="136">
        <v>29800</v>
      </c>
      <c r="H988" s="136">
        <v>35000</v>
      </c>
      <c r="I988" s="207">
        <f t="shared" si="55"/>
        <v>1.174496644295302</v>
      </c>
      <c r="J988" s="207">
        <f>H988/$H$1431</f>
        <v>0.00052253228961</v>
      </c>
    </row>
    <row r="989" spans="1:10" s="32" customFormat="1" ht="12.75">
      <c r="A989" s="147">
        <f t="shared" si="56"/>
        <v>907</v>
      </c>
      <c r="B989" s="14">
        <v>4260</v>
      </c>
      <c r="C989" s="116" t="s">
        <v>134</v>
      </c>
      <c r="D989" s="25"/>
      <c r="E989" s="46">
        <v>3000</v>
      </c>
      <c r="F989" s="136">
        <v>21000</v>
      </c>
      <c r="G989" s="136">
        <v>21000</v>
      </c>
      <c r="H989" s="136">
        <v>21000</v>
      </c>
      <c r="I989" s="207">
        <f t="shared" si="55"/>
        <v>1</v>
      </c>
      <c r="J989" s="207">
        <f>H989/$H$1431</f>
        <v>0.0003135193737659999</v>
      </c>
    </row>
    <row r="990" spans="1:10" s="32" customFormat="1" ht="12.75">
      <c r="A990" s="147">
        <f t="shared" si="56"/>
        <v>908</v>
      </c>
      <c r="B990" s="14">
        <v>4300</v>
      </c>
      <c r="C990" s="116" t="s">
        <v>130</v>
      </c>
      <c r="D990" s="25"/>
      <c r="E990" s="45" t="e">
        <f>SUM(#REF!)</f>
        <v>#REF!</v>
      </c>
      <c r="F990" s="131">
        <v>124600</v>
      </c>
      <c r="G990" s="131">
        <v>124600</v>
      </c>
      <c r="H990" s="131">
        <v>145000</v>
      </c>
      <c r="I990" s="207">
        <f t="shared" si="55"/>
        <v>1.1637239165329052</v>
      </c>
      <c r="J990" s="207">
        <f>H990/$H$1431</f>
        <v>0.0021647766283842853</v>
      </c>
    </row>
    <row r="991" spans="1:10" ht="12.75">
      <c r="A991" s="147">
        <f t="shared" si="56"/>
        <v>909</v>
      </c>
      <c r="B991" s="15">
        <v>4370</v>
      </c>
      <c r="C991" s="117" t="s">
        <v>280</v>
      </c>
      <c r="D991" s="25"/>
      <c r="E991" s="46"/>
      <c r="F991" s="136"/>
      <c r="G991" s="136"/>
      <c r="H991" s="136"/>
      <c r="I991" s="207"/>
      <c r="J991" s="207"/>
    </row>
    <row r="992" spans="1:10" ht="12.75">
      <c r="A992" s="147">
        <f t="shared" si="56"/>
        <v>910</v>
      </c>
      <c r="B992" s="15"/>
      <c r="C992" s="117" t="s">
        <v>266</v>
      </c>
      <c r="D992" s="25"/>
      <c r="E992" s="46"/>
      <c r="F992" s="136">
        <v>3400</v>
      </c>
      <c r="G992" s="136">
        <v>3400</v>
      </c>
      <c r="H992" s="136">
        <v>4000</v>
      </c>
      <c r="I992" s="207">
        <f t="shared" si="55"/>
        <v>1.1764705882352942</v>
      </c>
      <c r="J992" s="207">
        <f>H992/$H$1431</f>
        <v>5.9717975955428565E-05</v>
      </c>
    </row>
    <row r="993" spans="1:10" ht="12.75">
      <c r="A993" s="147">
        <f t="shared" si="56"/>
        <v>911</v>
      </c>
      <c r="B993" s="15">
        <v>4400</v>
      </c>
      <c r="C993" s="117" t="s">
        <v>346</v>
      </c>
      <c r="D993" s="25"/>
      <c r="E993" s="46"/>
      <c r="F993" s="136"/>
      <c r="G993" s="136"/>
      <c r="H993" s="136"/>
      <c r="I993" s="207"/>
      <c r="J993" s="207"/>
    </row>
    <row r="994" spans="1:10" ht="12.75">
      <c r="A994" s="147">
        <f t="shared" si="56"/>
        <v>912</v>
      </c>
      <c r="B994" s="15"/>
      <c r="C994" s="117" t="s">
        <v>345</v>
      </c>
      <c r="D994" s="25"/>
      <c r="E994" s="46"/>
      <c r="F994" s="136">
        <v>25000</v>
      </c>
      <c r="G994" s="136">
        <v>25000</v>
      </c>
      <c r="H994" s="136">
        <v>40000</v>
      </c>
      <c r="I994" s="207">
        <f t="shared" si="55"/>
        <v>1.6</v>
      </c>
      <c r="J994" s="207">
        <f>H994/$H$1431</f>
        <v>0.0005971797595542857</v>
      </c>
    </row>
    <row r="995" spans="1:10" ht="12.75">
      <c r="A995" s="147">
        <f t="shared" si="56"/>
        <v>913</v>
      </c>
      <c r="B995" s="15">
        <v>4430</v>
      </c>
      <c r="C995" s="117" t="s">
        <v>39</v>
      </c>
      <c r="D995" s="25"/>
      <c r="E995" s="46"/>
      <c r="F995" s="136">
        <v>1000</v>
      </c>
      <c r="G995" s="136">
        <v>1000</v>
      </c>
      <c r="H995" s="136">
        <v>2000</v>
      </c>
      <c r="I995" s="207">
        <f t="shared" si="55"/>
        <v>2</v>
      </c>
      <c r="J995" s="207">
        <f>H995/$H$1431</f>
        <v>2.9858987977714282E-05</v>
      </c>
    </row>
    <row r="996" spans="1:10" ht="12.75">
      <c r="A996" s="147">
        <f t="shared" si="56"/>
        <v>914</v>
      </c>
      <c r="B996" s="15">
        <v>4740</v>
      </c>
      <c r="C996" s="117" t="s">
        <v>270</v>
      </c>
      <c r="D996" s="25"/>
      <c r="E996" s="46"/>
      <c r="F996" s="136"/>
      <c r="G996" s="136"/>
      <c r="H996" s="136"/>
      <c r="I996" s="207"/>
      <c r="J996" s="207"/>
    </row>
    <row r="997" spans="1:10" ht="12.75">
      <c r="A997" s="147">
        <f t="shared" si="56"/>
        <v>915</v>
      </c>
      <c r="B997" s="15"/>
      <c r="C997" s="117" t="s">
        <v>271</v>
      </c>
      <c r="D997" s="25"/>
      <c r="E997" s="46"/>
      <c r="F997" s="136">
        <v>200</v>
      </c>
      <c r="G997" s="136">
        <v>200</v>
      </c>
      <c r="H997" s="136">
        <v>1000</v>
      </c>
      <c r="I997" s="207">
        <f t="shared" si="55"/>
        <v>5</v>
      </c>
      <c r="J997" s="207">
        <f>H997/$H$1431</f>
        <v>1.4929493988857141E-05</v>
      </c>
    </row>
    <row r="998" spans="1:10" ht="12.75">
      <c r="A998" s="147">
        <f t="shared" si="56"/>
        <v>916</v>
      </c>
      <c r="B998" s="15">
        <v>4750</v>
      </c>
      <c r="C998" s="117" t="s">
        <v>615</v>
      </c>
      <c r="D998" s="25"/>
      <c r="E998" s="46"/>
      <c r="F998" s="136"/>
      <c r="G998" s="136"/>
      <c r="H998" s="136"/>
      <c r="I998" s="207"/>
      <c r="J998" s="207"/>
    </row>
    <row r="999" spans="1:10" ht="12.75">
      <c r="A999" s="147">
        <f t="shared" si="56"/>
        <v>917</v>
      </c>
      <c r="B999" s="15"/>
      <c r="C999" s="117" t="s">
        <v>273</v>
      </c>
      <c r="D999" s="25"/>
      <c r="E999" s="46"/>
      <c r="F999" s="136">
        <v>0</v>
      </c>
      <c r="G999" s="136">
        <v>0</v>
      </c>
      <c r="H999" s="136">
        <v>2000</v>
      </c>
      <c r="I999" s="207"/>
      <c r="J999" s="207">
        <f>H999/$H$1431</f>
        <v>2.9858987977714282E-05</v>
      </c>
    </row>
    <row r="1000" spans="1:10" ht="12.75">
      <c r="A1000" s="147">
        <f t="shared" si="56"/>
        <v>918</v>
      </c>
      <c r="B1000" s="15">
        <v>6220</v>
      </c>
      <c r="C1000" s="117" t="s">
        <v>390</v>
      </c>
      <c r="D1000" s="25"/>
      <c r="E1000" s="46"/>
      <c r="F1000" s="136"/>
      <c r="G1000" s="136"/>
      <c r="H1000" s="136"/>
      <c r="I1000" s="207"/>
      <c r="J1000" s="207"/>
    </row>
    <row r="1001" spans="1:10" ht="12.75">
      <c r="A1001" s="147">
        <f t="shared" si="56"/>
        <v>919</v>
      </c>
      <c r="B1001" s="15"/>
      <c r="C1001" s="117" t="s">
        <v>699</v>
      </c>
      <c r="D1001" s="25"/>
      <c r="E1001" s="46"/>
      <c r="F1001" s="136"/>
      <c r="G1001" s="136"/>
      <c r="H1001" s="136"/>
      <c r="I1001" s="207"/>
      <c r="J1001" s="207"/>
    </row>
    <row r="1002" spans="1:10" ht="12.75">
      <c r="A1002" s="147">
        <f t="shared" si="56"/>
        <v>920</v>
      </c>
      <c r="B1002" s="15"/>
      <c r="C1002" s="117" t="s">
        <v>550</v>
      </c>
      <c r="D1002" s="25"/>
      <c r="E1002" s="46"/>
      <c r="F1002" s="136"/>
      <c r="G1002" s="136"/>
      <c r="H1002" s="136"/>
      <c r="I1002" s="207"/>
      <c r="J1002" s="207"/>
    </row>
    <row r="1003" spans="1:10" ht="12.75">
      <c r="A1003" s="147">
        <f t="shared" si="56"/>
        <v>921</v>
      </c>
      <c r="B1003" s="15"/>
      <c r="C1003" s="117" t="s">
        <v>551</v>
      </c>
      <c r="D1003" s="25"/>
      <c r="E1003" s="46"/>
      <c r="F1003" s="136"/>
      <c r="G1003" s="136"/>
      <c r="H1003" s="136"/>
      <c r="I1003" s="207"/>
      <c r="J1003" s="207"/>
    </row>
    <row r="1004" spans="1:10" ht="12.75">
      <c r="A1004" s="147">
        <f t="shared" si="56"/>
        <v>922</v>
      </c>
      <c r="B1004" s="15"/>
      <c r="C1004" s="117" t="s">
        <v>552</v>
      </c>
      <c r="D1004" s="25"/>
      <c r="E1004" s="46"/>
      <c r="F1004" s="136">
        <v>129000</v>
      </c>
      <c r="G1004" s="136">
        <v>0</v>
      </c>
      <c r="H1004" s="136">
        <v>129000</v>
      </c>
      <c r="I1004" s="207"/>
      <c r="J1004" s="207">
        <f>H1004/$H$1431</f>
        <v>0.0019259047245625712</v>
      </c>
    </row>
    <row r="1005" spans="1:10" ht="12.75">
      <c r="A1005" s="147"/>
      <c r="B1005" s="15"/>
      <c r="C1005" s="117"/>
      <c r="D1005" s="25"/>
      <c r="E1005" s="46"/>
      <c r="F1005" s="136"/>
      <c r="G1005" s="136"/>
      <c r="H1005" s="136"/>
      <c r="I1005" s="207"/>
      <c r="J1005" s="207"/>
    </row>
    <row r="1006" spans="1:10" ht="12.75">
      <c r="A1006" s="147"/>
      <c r="B1006" s="15"/>
      <c r="C1006" s="117"/>
      <c r="D1006" s="25"/>
      <c r="E1006" s="46"/>
      <c r="F1006" s="136"/>
      <c r="G1006" s="136"/>
      <c r="H1006" s="136"/>
      <c r="I1006" s="207"/>
      <c r="J1006" s="207"/>
    </row>
    <row r="1007" spans="1:10" ht="12.75">
      <c r="A1007" s="147"/>
      <c r="B1007" s="15"/>
      <c r="C1007" s="117"/>
      <c r="D1007" s="25"/>
      <c r="E1007" s="46"/>
      <c r="F1007" s="136"/>
      <c r="G1007" s="136"/>
      <c r="H1007" s="136"/>
      <c r="I1007" s="207"/>
      <c r="J1007" s="207"/>
    </row>
    <row r="1008" spans="1:10" ht="12.75">
      <c r="A1008" s="147"/>
      <c r="B1008" s="15"/>
      <c r="C1008" s="117"/>
      <c r="D1008" s="25"/>
      <c r="E1008" s="46"/>
      <c r="F1008" s="136"/>
      <c r="G1008" s="136"/>
      <c r="H1008" s="136"/>
      <c r="I1008" s="207"/>
      <c r="J1008" s="207"/>
    </row>
    <row r="1009" spans="1:10" ht="12.75">
      <c r="A1009" s="147"/>
      <c r="B1009" s="15"/>
      <c r="C1009" s="117"/>
      <c r="D1009" s="25"/>
      <c r="E1009" s="46"/>
      <c r="F1009" s="136"/>
      <c r="G1009" s="136"/>
      <c r="H1009" s="136"/>
      <c r="I1009" s="207"/>
      <c r="J1009" s="207"/>
    </row>
    <row r="1010" spans="1:10" s="166" customFormat="1" ht="12.75">
      <c r="A1010" s="147">
        <f>A1004+1</f>
        <v>923</v>
      </c>
      <c r="B1010" s="148">
        <v>85195</v>
      </c>
      <c r="C1010" s="149" t="s">
        <v>25</v>
      </c>
      <c r="D1010" s="146"/>
      <c r="E1010" s="150"/>
      <c r="F1010" s="151">
        <f>SUM(F1014:F1016)</f>
        <v>0</v>
      </c>
      <c r="G1010" s="151">
        <f>SUM(G1014:G1016)</f>
        <v>0</v>
      </c>
      <c r="H1010" s="151">
        <f>SUM(H1014:H1016)</f>
        <v>125600</v>
      </c>
      <c r="I1010" s="207"/>
      <c r="J1010" s="207">
        <f>H1010/$H$1431</f>
        <v>0.0018751444450004569</v>
      </c>
    </row>
    <row r="1011" spans="1:10" ht="12.75">
      <c r="A1011" s="147">
        <f t="shared" si="56"/>
        <v>924</v>
      </c>
      <c r="B1011" s="15">
        <v>4300</v>
      </c>
      <c r="C1011" s="117" t="s">
        <v>709</v>
      </c>
      <c r="D1011" s="25"/>
      <c r="E1011" s="46"/>
      <c r="F1011" s="136"/>
      <c r="G1011" s="136"/>
      <c r="H1011" s="136"/>
      <c r="I1011" s="207"/>
      <c r="J1011" s="207"/>
    </row>
    <row r="1012" spans="1:10" ht="12.75">
      <c r="A1012" s="147">
        <f t="shared" si="56"/>
        <v>925</v>
      </c>
      <c r="B1012" s="15"/>
      <c r="C1012" s="117" t="s">
        <v>15</v>
      </c>
      <c r="D1012" s="25"/>
      <c r="E1012" s="46"/>
      <c r="F1012" s="136"/>
      <c r="G1012" s="136"/>
      <c r="H1012" s="136"/>
      <c r="I1012" s="207"/>
      <c r="J1012" s="207"/>
    </row>
    <row r="1013" spans="1:10" ht="12.75">
      <c r="A1013" s="147">
        <f t="shared" si="56"/>
        <v>926</v>
      </c>
      <c r="B1013" s="15"/>
      <c r="C1013" s="119" t="s">
        <v>696</v>
      </c>
      <c r="D1013" s="25"/>
      <c r="E1013" s="46"/>
      <c r="F1013" s="136"/>
      <c r="G1013" s="136"/>
      <c r="H1013" s="136"/>
      <c r="I1013" s="207"/>
      <c r="J1013" s="207"/>
    </row>
    <row r="1014" spans="1:10" ht="12.75">
      <c r="A1014" s="147">
        <f t="shared" si="56"/>
        <v>927</v>
      </c>
      <c r="B1014" s="15"/>
      <c r="C1014" s="119" t="s">
        <v>697</v>
      </c>
      <c r="D1014" s="25"/>
      <c r="E1014" s="46"/>
      <c r="F1014" s="136">
        <v>0</v>
      </c>
      <c r="G1014" s="136">
        <v>0</v>
      </c>
      <c r="H1014" s="136">
        <v>40000</v>
      </c>
      <c r="I1014" s="207"/>
      <c r="J1014" s="207">
        <f>H1014/$H$1431</f>
        <v>0.0005971797595542857</v>
      </c>
    </row>
    <row r="1015" spans="1:10" ht="12.75">
      <c r="A1015" s="147">
        <f t="shared" si="56"/>
        <v>928</v>
      </c>
      <c r="B1015" s="15"/>
      <c r="C1015" s="119" t="s">
        <v>698</v>
      </c>
      <c r="D1015" s="25"/>
      <c r="E1015" s="46"/>
      <c r="F1015" s="136"/>
      <c r="G1015" s="136"/>
      <c r="H1015" s="136"/>
      <c r="I1015" s="207"/>
      <c r="J1015" s="207"/>
    </row>
    <row r="1016" spans="1:10" ht="12.75">
      <c r="A1016" s="147">
        <f t="shared" si="56"/>
        <v>929</v>
      </c>
      <c r="B1016" s="15"/>
      <c r="C1016" s="119" t="s">
        <v>700</v>
      </c>
      <c r="D1016" s="25"/>
      <c r="E1016" s="46"/>
      <c r="F1016" s="136">
        <v>0</v>
      </c>
      <c r="G1016" s="136">
        <v>0</v>
      </c>
      <c r="H1016" s="136">
        <v>85600</v>
      </c>
      <c r="I1016" s="207"/>
      <c r="J1016" s="207">
        <f>H1016/$H$1431</f>
        <v>0.0012779646854461713</v>
      </c>
    </row>
    <row r="1017" spans="1:10" ht="12.75">
      <c r="A1017" s="147">
        <f t="shared" si="56"/>
        <v>930</v>
      </c>
      <c r="B1017" s="56">
        <v>852</v>
      </c>
      <c r="C1017" s="78" t="s">
        <v>191</v>
      </c>
      <c r="D1017" s="25"/>
      <c r="E1017" s="46"/>
      <c r="F1017" s="141">
        <f>F1019+F1077+F1080+F1093+F1095+F1126+F1148</f>
        <v>3068393</v>
      </c>
      <c r="G1017" s="141">
        <f>G1019+G1077+G1080+G1093+G1095+G1126+G1148</f>
        <v>3068393</v>
      </c>
      <c r="H1017" s="141">
        <f>H1019+H1077+H1080+H1093+H1095+H1126+H1148</f>
        <v>3271560</v>
      </c>
      <c r="I1017" s="207">
        <f t="shared" si="55"/>
        <v>1.0662128351876698</v>
      </c>
      <c r="J1017" s="207">
        <f>H1017/$H$1431</f>
        <v>0.048842735354185464</v>
      </c>
    </row>
    <row r="1018" spans="1:10" s="65" customFormat="1" ht="12.75">
      <c r="A1018" s="147">
        <f t="shared" si="56"/>
        <v>931</v>
      </c>
      <c r="B1018" s="62">
        <v>85212</v>
      </c>
      <c r="C1018" s="68" t="s">
        <v>254</v>
      </c>
      <c r="D1018" s="63"/>
      <c r="E1018" s="121"/>
      <c r="F1018" s="138"/>
      <c r="G1018" s="138"/>
      <c r="H1018" s="138"/>
      <c r="I1018" s="207"/>
      <c r="J1018" s="207"/>
    </row>
    <row r="1019" spans="1:10" s="65" customFormat="1" ht="12.75">
      <c r="A1019" s="147">
        <f t="shared" si="56"/>
        <v>932</v>
      </c>
      <c r="B1019" s="69"/>
      <c r="C1019" s="68" t="s">
        <v>253</v>
      </c>
      <c r="D1019" s="63"/>
      <c r="E1019" s="121"/>
      <c r="F1019" s="138">
        <f>+F1020+F1026+F1030+F1031+F1035+F1039+F1040+F1044+F1049+F1054+F1058+F1062+F1064+F1066+F1068+F1070</f>
        <v>1233053</v>
      </c>
      <c r="G1019" s="138">
        <f>+G1020+G1026+G1030+G1031+G1035+G1039+G1040+G1044+G1049+G1054+G1058+G1062+G1064+G1066+G1068+G1070</f>
        <v>1233053</v>
      </c>
      <c r="H1019" s="138">
        <f>+H1020+H1026+H1030+H1031+H1035+H1039+H1040+H1044+H1049+H1054+H1058+H1062+H1064+H1066+H1068+H1070</f>
        <v>1278460</v>
      </c>
      <c r="I1019" s="207">
        <f t="shared" si="55"/>
        <v>1.0368248566768825</v>
      </c>
      <c r="J1019" s="207">
        <f>H1019/$H$1431</f>
        <v>0.0190867608849943</v>
      </c>
    </row>
    <row r="1020" spans="1:10" s="60" customFormat="1" ht="12.75">
      <c r="A1020" s="147">
        <f t="shared" si="56"/>
        <v>933</v>
      </c>
      <c r="B1020" s="85">
        <v>3110</v>
      </c>
      <c r="C1020" s="79" t="s">
        <v>48</v>
      </c>
      <c r="D1020" s="84"/>
      <c r="E1020" s="83"/>
      <c r="F1020" s="136">
        <f>SUM(F1022:F1025)</f>
        <v>1085220</v>
      </c>
      <c r="G1020" s="136">
        <f>SUM(G1022:G1025)</f>
        <v>1085220</v>
      </c>
      <c r="H1020" s="136">
        <f>SUM(H1022:H1025)</f>
        <v>1136000</v>
      </c>
      <c r="I1020" s="207">
        <f t="shared" si="55"/>
        <v>1.0467923554670941</v>
      </c>
      <c r="J1020" s="207">
        <f>H1020/$H$1431</f>
        <v>0.016959905171341712</v>
      </c>
    </row>
    <row r="1021" spans="1:10" s="60" customFormat="1" ht="12.75">
      <c r="A1021" s="147">
        <f t="shared" si="56"/>
        <v>934</v>
      </c>
      <c r="B1021" s="122"/>
      <c r="C1021" s="79" t="s">
        <v>15</v>
      </c>
      <c r="D1021" s="84"/>
      <c r="E1021" s="83"/>
      <c r="F1021" s="136"/>
      <c r="G1021" s="136"/>
      <c r="H1021" s="136"/>
      <c r="I1021" s="207"/>
      <c r="J1021" s="207"/>
    </row>
    <row r="1022" spans="1:10" s="60" customFormat="1" ht="12.75">
      <c r="A1022" s="147">
        <f t="shared" si="56"/>
        <v>935</v>
      </c>
      <c r="B1022" s="122"/>
      <c r="C1022" s="79" t="s">
        <v>202</v>
      </c>
      <c r="D1022" s="84"/>
      <c r="E1022" s="83"/>
      <c r="F1022" s="136">
        <v>635220</v>
      </c>
      <c r="G1022" s="136">
        <v>635220</v>
      </c>
      <c r="H1022" s="136">
        <v>680000</v>
      </c>
      <c r="I1022" s="207">
        <f t="shared" si="55"/>
        <v>1.0704952614842103</v>
      </c>
      <c r="J1022" s="207">
        <f>H1022/$H$1431</f>
        <v>0.010152055912422856</v>
      </c>
    </row>
    <row r="1023" spans="1:10" s="60" customFormat="1" ht="12.75">
      <c r="A1023" s="147">
        <f t="shared" si="56"/>
        <v>936</v>
      </c>
      <c r="B1023" s="122"/>
      <c r="C1023" s="79" t="s">
        <v>200</v>
      </c>
      <c r="D1023" s="84"/>
      <c r="E1023" s="83"/>
      <c r="F1023" s="136">
        <v>250000</v>
      </c>
      <c r="G1023" s="136">
        <v>250000</v>
      </c>
      <c r="H1023" s="136">
        <v>250000</v>
      </c>
      <c r="I1023" s="207">
        <f t="shared" si="55"/>
        <v>1</v>
      </c>
      <c r="J1023" s="207">
        <f>H1023/$H$1431</f>
        <v>0.003732373497214285</v>
      </c>
    </row>
    <row r="1024" spans="1:10" s="60" customFormat="1" ht="12.75">
      <c r="A1024" s="147">
        <f t="shared" si="56"/>
        <v>937</v>
      </c>
      <c r="B1024" s="122"/>
      <c r="C1024" s="79" t="s">
        <v>228</v>
      </c>
      <c r="D1024" s="84"/>
      <c r="E1024" s="83"/>
      <c r="F1024" s="136">
        <v>200000</v>
      </c>
      <c r="G1024" s="136">
        <v>200000</v>
      </c>
      <c r="H1024" s="136">
        <v>0</v>
      </c>
      <c r="I1024" s="207">
        <f t="shared" si="55"/>
        <v>0</v>
      </c>
      <c r="J1024" s="207">
        <f>H1024/$H$1431</f>
        <v>0</v>
      </c>
    </row>
    <row r="1025" spans="1:10" s="60" customFormat="1" ht="12.75">
      <c r="A1025" s="147">
        <f t="shared" si="56"/>
        <v>938</v>
      </c>
      <c r="B1025" s="122"/>
      <c r="C1025" s="79" t="s">
        <v>616</v>
      </c>
      <c r="D1025" s="84"/>
      <c r="E1025" s="83"/>
      <c r="F1025" s="136">
        <v>0</v>
      </c>
      <c r="G1025" s="136">
        <v>0</v>
      </c>
      <c r="H1025" s="136">
        <v>206000</v>
      </c>
      <c r="I1025" s="207"/>
      <c r="J1025" s="207">
        <f>H1025/$H$1431</f>
        <v>0.0030754757617045708</v>
      </c>
    </row>
    <row r="1026" spans="1:10" s="60" customFormat="1" ht="12.75">
      <c r="A1026" s="147">
        <f t="shared" si="56"/>
        <v>939</v>
      </c>
      <c r="B1026" s="102">
        <v>4010</v>
      </c>
      <c r="C1026" s="79" t="s">
        <v>27</v>
      </c>
      <c r="D1026" s="84"/>
      <c r="E1026" s="83"/>
      <c r="F1026" s="136">
        <f>SUM(F1028:F1029)</f>
        <v>60000</v>
      </c>
      <c r="G1026" s="136">
        <f>SUM(G1028:G1029)</f>
        <v>60000</v>
      </c>
      <c r="H1026" s="136">
        <f>SUM(H1028:H1029)</f>
        <v>67200</v>
      </c>
      <c r="I1026" s="207">
        <f t="shared" si="55"/>
        <v>1.12</v>
      </c>
      <c r="J1026" s="207">
        <f>H1026/$H$1431</f>
        <v>0.0010032619960512</v>
      </c>
    </row>
    <row r="1027" spans="1:10" s="60" customFormat="1" ht="12.75">
      <c r="A1027" s="147">
        <f t="shared" si="56"/>
        <v>940</v>
      </c>
      <c r="B1027" s="102"/>
      <c r="C1027" s="79" t="s">
        <v>15</v>
      </c>
      <c r="D1027" s="84"/>
      <c r="E1027" s="83"/>
      <c r="F1027" s="136"/>
      <c r="G1027" s="136"/>
      <c r="H1027" s="136"/>
      <c r="I1027" s="207"/>
      <c r="J1027" s="207"/>
    </row>
    <row r="1028" spans="1:10" s="60" customFormat="1" ht="12.75">
      <c r="A1028" s="147">
        <f t="shared" si="56"/>
        <v>941</v>
      </c>
      <c r="B1028" s="102"/>
      <c r="C1028" s="79" t="s">
        <v>233</v>
      </c>
      <c r="D1028" s="84"/>
      <c r="E1028" s="83"/>
      <c r="F1028" s="136">
        <v>23780</v>
      </c>
      <c r="G1028" s="136">
        <v>23780</v>
      </c>
      <c r="H1028" s="136">
        <v>25800</v>
      </c>
      <c r="I1028" s="207">
        <f t="shared" si="55"/>
        <v>1.084945332211943</v>
      </c>
      <c r="J1028" s="207">
        <f>H1028/$H$1431</f>
        <v>0.0003851809449125142</v>
      </c>
    </row>
    <row r="1029" spans="1:10" s="60" customFormat="1" ht="12.75">
      <c r="A1029" s="147">
        <f t="shared" si="56"/>
        <v>942</v>
      </c>
      <c r="B1029" s="102"/>
      <c r="C1029" s="79" t="s">
        <v>234</v>
      </c>
      <c r="D1029" s="84"/>
      <c r="E1029" s="83"/>
      <c r="F1029" s="136">
        <v>36220</v>
      </c>
      <c r="G1029" s="136">
        <v>36220</v>
      </c>
      <c r="H1029" s="136">
        <v>41400</v>
      </c>
      <c r="I1029" s="207">
        <f t="shared" si="55"/>
        <v>1.143014908890116</v>
      </c>
      <c r="J1029" s="207">
        <f>H1029/$H$1431</f>
        <v>0.0006180810511386857</v>
      </c>
    </row>
    <row r="1030" spans="1:10" s="60" customFormat="1" ht="12.75">
      <c r="A1030" s="147">
        <f t="shared" si="56"/>
        <v>943</v>
      </c>
      <c r="B1030" s="102">
        <v>4040</v>
      </c>
      <c r="C1030" s="79" t="s">
        <v>236</v>
      </c>
      <c r="D1030" s="84"/>
      <c r="E1030" s="83"/>
      <c r="F1030" s="136">
        <v>4500</v>
      </c>
      <c r="G1030" s="136">
        <v>4500</v>
      </c>
      <c r="H1030" s="136">
        <v>5100</v>
      </c>
      <c r="I1030" s="207">
        <f t="shared" si="55"/>
        <v>1.1333333333333333</v>
      </c>
      <c r="J1030" s="207">
        <f>H1030/$H$1431</f>
        <v>7.614041934317142E-05</v>
      </c>
    </row>
    <row r="1031" spans="1:10" s="60" customFormat="1" ht="12.75">
      <c r="A1031" s="147">
        <f t="shared" si="56"/>
        <v>944</v>
      </c>
      <c r="B1031" s="102">
        <v>4110</v>
      </c>
      <c r="C1031" s="79" t="s">
        <v>201</v>
      </c>
      <c r="D1031" s="84"/>
      <c r="E1031" s="83"/>
      <c r="F1031" s="136">
        <f>SUM(F1033:F1034)</f>
        <v>18700</v>
      </c>
      <c r="G1031" s="136">
        <f>SUM(G1033:G1034)</f>
        <v>18700</v>
      </c>
      <c r="H1031" s="136">
        <f>SUM(H1033:H1034)</f>
        <v>21940</v>
      </c>
      <c r="I1031" s="207">
        <f t="shared" si="55"/>
        <v>1.1732620320855616</v>
      </c>
      <c r="J1031" s="207">
        <f>H1031/$H$1431</f>
        <v>0.00032755309811552565</v>
      </c>
    </row>
    <row r="1032" spans="1:10" s="60" customFormat="1" ht="12.75">
      <c r="A1032" s="147">
        <f t="shared" si="56"/>
        <v>945</v>
      </c>
      <c r="B1032" s="102"/>
      <c r="C1032" s="79" t="s">
        <v>15</v>
      </c>
      <c r="D1032" s="84"/>
      <c r="E1032" s="83"/>
      <c r="F1032" s="136"/>
      <c r="G1032" s="136"/>
      <c r="H1032" s="136"/>
      <c r="I1032" s="207"/>
      <c r="J1032" s="207"/>
    </row>
    <row r="1033" spans="1:10" s="60" customFormat="1" ht="12.75">
      <c r="A1033" s="147">
        <f t="shared" si="56"/>
        <v>946</v>
      </c>
      <c r="B1033" s="102"/>
      <c r="C1033" s="103" t="s">
        <v>235</v>
      </c>
      <c r="D1033" s="84"/>
      <c r="E1033" s="83"/>
      <c r="F1033" s="136">
        <v>11200</v>
      </c>
      <c r="G1033" s="136">
        <v>11200</v>
      </c>
      <c r="H1033" s="136">
        <v>11400</v>
      </c>
      <c r="I1033" s="207">
        <f t="shared" si="55"/>
        <v>1.0178571428571428</v>
      </c>
      <c r="J1033" s="207">
        <f>H1033/$H$1431</f>
        <v>0.00017019623147297141</v>
      </c>
    </row>
    <row r="1034" spans="1:10" s="60" customFormat="1" ht="12.75">
      <c r="A1034" s="147">
        <f t="shared" si="56"/>
        <v>947</v>
      </c>
      <c r="B1034" s="102"/>
      <c r="C1034" s="103" t="s">
        <v>245</v>
      </c>
      <c r="D1034" s="84"/>
      <c r="E1034" s="83"/>
      <c r="F1034" s="136">
        <v>7500</v>
      </c>
      <c r="G1034" s="136">
        <v>7500</v>
      </c>
      <c r="H1034" s="136">
        <v>10540</v>
      </c>
      <c r="I1034" s="207">
        <f t="shared" si="55"/>
        <v>1.4053333333333333</v>
      </c>
      <c r="J1034" s="207">
        <f>H1034/$H$1431</f>
        <v>0.00015735686664255426</v>
      </c>
    </row>
    <row r="1035" spans="1:10" s="60" customFormat="1" ht="12.75">
      <c r="A1035" s="147">
        <f t="shared" si="56"/>
        <v>948</v>
      </c>
      <c r="B1035" s="102">
        <v>4120</v>
      </c>
      <c r="C1035" s="79" t="s">
        <v>248</v>
      </c>
      <c r="D1035" s="84"/>
      <c r="E1035" s="83"/>
      <c r="F1035" s="136">
        <f>SUM(F1037:F1038)</f>
        <v>1700</v>
      </c>
      <c r="G1035" s="136">
        <f>SUM(G1037:G1038)</f>
        <v>1700</v>
      </c>
      <c r="H1035" s="136">
        <f>SUM(H1037:H1038)</f>
        <v>1800</v>
      </c>
      <c r="I1035" s="207">
        <f t="shared" si="55"/>
        <v>1.0588235294117647</v>
      </c>
      <c r="J1035" s="207">
        <f>H1035/$H$1431</f>
        <v>2.6873089179942854E-05</v>
      </c>
    </row>
    <row r="1036" spans="1:10" s="60" customFormat="1" ht="12.75">
      <c r="A1036" s="147">
        <f t="shared" si="56"/>
        <v>949</v>
      </c>
      <c r="B1036" s="102"/>
      <c r="C1036" s="79" t="s">
        <v>15</v>
      </c>
      <c r="D1036" s="84"/>
      <c r="E1036" s="83"/>
      <c r="F1036" s="136"/>
      <c r="G1036" s="136"/>
      <c r="H1036" s="136"/>
      <c r="I1036" s="207"/>
      <c r="J1036" s="207"/>
    </row>
    <row r="1037" spans="1:10" s="60" customFormat="1" ht="12.75">
      <c r="A1037" s="147">
        <f t="shared" si="56"/>
        <v>950</v>
      </c>
      <c r="B1037" s="102"/>
      <c r="C1037" s="79" t="s">
        <v>246</v>
      </c>
      <c r="D1037" s="84"/>
      <c r="E1037" s="83"/>
      <c r="F1037" s="136">
        <v>1600</v>
      </c>
      <c r="G1037" s="136">
        <v>1600</v>
      </c>
      <c r="H1037" s="136">
        <v>1800</v>
      </c>
      <c r="I1037" s="207">
        <f t="shared" si="55"/>
        <v>1.125</v>
      </c>
      <c r="J1037" s="207">
        <f>H1037/$H$1431</f>
        <v>2.6873089179942854E-05</v>
      </c>
    </row>
    <row r="1038" spans="1:10" s="60" customFormat="1" ht="12.75">
      <c r="A1038" s="147">
        <f t="shared" si="56"/>
        <v>951</v>
      </c>
      <c r="B1038" s="102"/>
      <c r="C1038" s="79" t="s">
        <v>247</v>
      </c>
      <c r="D1038" s="84"/>
      <c r="E1038" s="83"/>
      <c r="F1038" s="136">
        <v>100</v>
      </c>
      <c r="G1038" s="136">
        <v>100</v>
      </c>
      <c r="H1038" s="136">
        <v>0</v>
      </c>
      <c r="I1038" s="207">
        <f t="shared" si="55"/>
        <v>0</v>
      </c>
      <c r="J1038" s="207"/>
    </row>
    <row r="1039" spans="1:10" s="60" customFormat="1" ht="12.75">
      <c r="A1039" s="147">
        <f t="shared" si="56"/>
        <v>952</v>
      </c>
      <c r="B1039" s="102">
        <v>4170</v>
      </c>
      <c r="C1039" s="79" t="s">
        <v>553</v>
      </c>
      <c r="D1039" s="84"/>
      <c r="E1039" s="83"/>
      <c r="F1039" s="136">
        <v>3000</v>
      </c>
      <c r="G1039" s="136">
        <v>3000</v>
      </c>
      <c r="H1039" s="136">
        <v>0</v>
      </c>
      <c r="I1039" s="207">
        <f t="shared" si="55"/>
        <v>0</v>
      </c>
      <c r="J1039" s="207"/>
    </row>
    <row r="1040" spans="1:10" s="60" customFormat="1" ht="12.75">
      <c r="A1040" s="147">
        <f t="shared" si="56"/>
        <v>953</v>
      </c>
      <c r="B1040" s="102">
        <v>4210</v>
      </c>
      <c r="C1040" s="79" t="s">
        <v>132</v>
      </c>
      <c r="D1040" s="84"/>
      <c r="E1040" s="83"/>
      <c r="F1040" s="136">
        <f>SUM(F1042:F1043)</f>
        <v>10133</v>
      </c>
      <c r="G1040" s="136">
        <f>SUM(G1042:G1043)</f>
        <v>10133</v>
      </c>
      <c r="H1040" s="136">
        <f>SUM(H1042:H1043)</f>
        <v>3000</v>
      </c>
      <c r="I1040" s="207">
        <f aca="true" t="shared" si="57" ref="I1040:I1105">H1040/G1040</f>
        <v>0.29606237047271294</v>
      </c>
      <c r="J1040" s="207">
        <f>H1040/$H$1431</f>
        <v>4.478848196657142E-05</v>
      </c>
    </row>
    <row r="1041" spans="1:10" s="60" customFormat="1" ht="12.75">
      <c r="A1041" s="147">
        <f t="shared" si="56"/>
        <v>954</v>
      </c>
      <c r="B1041" s="102"/>
      <c r="C1041" s="79" t="s">
        <v>15</v>
      </c>
      <c r="D1041" s="84"/>
      <c r="E1041" s="83"/>
      <c r="F1041" s="136"/>
      <c r="G1041" s="136"/>
      <c r="H1041" s="136"/>
      <c r="I1041" s="207"/>
      <c r="J1041" s="207"/>
    </row>
    <row r="1042" spans="1:10" s="60" customFormat="1" ht="12.75">
      <c r="A1042" s="147">
        <f t="shared" si="56"/>
        <v>955</v>
      </c>
      <c r="B1042" s="102"/>
      <c r="C1042" s="79" t="s">
        <v>366</v>
      </c>
      <c r="D1042" s="84"/>
      <c r="E1042" s="83"/>
      <c r="F1042" s="136">
        <v>1200</v>
      </c>
      <c r="G1042" s="136">
        <v>1200</v>
      </c>
      <c r="H1042" s="136">
        <v>2000</v>
      </c>
      <c r="I1042" s="207">
        <f t="shared" si="57"/>
        <v>1.6666666666666667</v>
      </c>
      <c r="J1042" s="207">
        <f>H1042/$H$1431</f>
        <v>2.9858987977714282E-05</v>
      </c>
    </row>
    <row r="1043" spans="1:10" s="60" customFormat="1" ht="12.75">
      <c r="A1043" s="147">
        <f t="shared" si="56"/>
        <v>956</v>
      </c>
      <c r="B1043" s="102"/>
      <c r="C1043" s="79" t="s">
        <v>367</v>
      </c>
      <c r="D1043" s="84"/>
      <c r="E1043" s="83"/>
      <c r="F1043" s="136">
        <f>1500+7433</f>
        <v>8933</v>
      </c>
      <c r="G1043" s="136">
        <v>8933</v>
      </c>
      <c r="H1043" s="136">
        <v>1000</v>
      </c>
      <c r="I1043" s="207">
        <f t="shared" si="57"/>
        <v>0.1119444755401321</v>
      </c>
      <c r="J1043" s="207">
        <f>H1043/$H$1431</f>
        <v>1.4929493988857141E-05</v>
      </c>
    </row>
    <row r="1044" spans="1:10" s="60" customFormat="1" ht="12.75">
      <c r="A1044" s="147">
        <f t="shared" si="56"/>
        <v>957</v>
      </c>
      <c r="B1044" s="102">
        <v>4300</v>
      </c>
      <c r="C1044" s="79" t="s">
        <v>141</v>
      </c>
      <c r="D1044" s="84"/>
      <c r="E1044" s="83"/>
      <c r="F1044" s="136">
        <f>SUM(F1046:F1047)</f>
        <v>6000</v>
      </c>
      <c r="G1044" s="136">
        <f>SUM(G1046:G1047)</f>
        <v>6000</v>
      </c>
      <c r="H1044" s="136">
        <f>SUM(H1046:H1047)</f>
        <v>6000</v>
      </c>
      <c r="I1044" s="207">
        <f t="shared" si="57"/>
        <v>1</v>
      </c>
      <c r="J1044" s="207">
        <f>H1044/$H$1431</f>
        <v>8.957696393314284E-05</v>
      </c>
    </row>
    <row r="1045" spans="1:10" s="60" customFormat="1" ht="12.75">
      <c r="A1045" s="147">
        <f t="shared" si="56"/>
        <v>958</v>
      </c>
      <c r="B1045" s="102"/>
      <c r="C1045" s="79" t="s">
        <v>15</v>
      </c>
      <c r="D1045" s="84"/>
      <c r="E1045" s="83"/>
      <c r="F1045" s="136"/>
      <c r="G1045" s="136"/>
      <c r="H1045" s="136"/>
      <c r="I1045" s="207"/>
      <c r="J1045" s="207"/>
    </row>
    <row r="1046" spans="1:10" s="60" customFormat="1" ht="12.75">
      <c r="A1046" s="147">
        <f t="shared" si="56"/>
        <v>959</v>
      </c>
      <c r="B1046" s="102"/>
      <c r="C1046" s="79" t="s">
        <v>617</v>
      </c>
      <c r="D1046" s="84"/>
      <c r="E1046" s="83"/>
      <c r="F1046" s="136">
        <v>0</v>
      </c>
      <c r="G1046" s="136">
        <v>0</v>
      </c>
      <c r="H1046" s="136">
        <v>4000</v>
      </c>
      <c r="I1046" s="207"/>
      <c r="J1046" s="207">
        <f>H1046/$H$1431</f>
        <v>5.9717975955428565E-05</v>
      </c>
    </row>
    <row r="1047" spans="1:10" s="60" customFormat="1" ht="12.75">
      <c r="A1047" s="147">
        <f t="shared" si="56"/>
        <v>960</v>
      </c>
      <c r="B1047" s="102"/>
      <c r="C1047" s="79" t="s">
        <v>49</v>
      </c>
      <c r="D1047" s="84"/>
      <c r="E1047" s="83"/>
      <c r="F1047" s="136">
        <v>6000</v>
      </c>
      <c r="G1047" s="136">
        <v>6000</v>
      </c>
      <c r="H1047" s="136">
        <v>2000</v>
      </c>
      <c r="I1047" s="207">
        <f t="shared" si="57"/>
        <v>0.3333333333333333</v>
      </c>
      <c r="J1047" s="207">
        <f>H1047/$H$1431</f>
        <v>2.9858987977714282E-05</v>
      </c>
    </row>
    <row r="1048" spans="1:10" s="60" customFormat="1" ht="12.75">
      <c r="A1048" s="147">
        <f t="shared" si="56"/>
        <v>961</v>
      </c>
      <c r="B1048" s="102">
        <v>4370</v>
      </c>
      <c r="C1048" s="79" t="s">
        <v>280</v>
      </c>
      <c r="D1048" s="84"/>
      <c r="E1048" s="83"/>
      <c r="F1048" s="136"/>
      <c r="G1048" s="136"/>
      <c r="H1048" s="136"/>
      <c r="I1048" s="207"/>
      <c r="J1048" s="207"/>
    </row>
    <row r="1049" spans="1:10" s="60" customFormat="1" ht="12.75">
      <c r="A1049" s="147">
        <f t="shared" si="56"/>
        <v>962</v>
      </c>
      <c r="B1049" s="102"/>
      <c r="C1049" s="79" t="s">
        <v>305</v>
      </c>
      <c r="D1049" s="84"/>
      <c r="E1049" s="83"/>
      <c r="F1049" s="136">
        <f>SUM(F1051:F1052)</f>
        <v>4500</v>
      </c>
      <c r="G1049" s="136">
        <f>SUM(G1051:G1052)</f>
        <v>4500</v>
      </c>
      <c r="H1049" s="136">
        <f>SUM(H1051:H1052)</f>
        <v>3500</v>
      </c>
      <c r="I1049" s="207">
        <f t="shared" si="57"/>
        <v>0.7777777777777778</v>
      </c>
      <c r="J1049" s="207">
        <f>H1049/$H$1431</f>
        <v>5.225322896099999E-05</v>
      </c>
    </row>
    <row r="1050" spans="1:10" s="60" customFormat="1" ht="12.75">
      <c r="A1050" s="147">
        <f t="shared" si="56"/>
        <v>963</v>
      </c>
      <c r="B1050" s="102"/>
      <c r="C1050" s="79" t="s">
        <v>15</v>
      </c>
      <c r="D1050" s="84"/>
      <c r="E1050" s="83"/>
      <c r="F1050" s="136"/>
      <c r="G1050" s="136"/>
      <c r="H1050" s="136"/>
      <c r="I1050" s="207"/>
      <c r="J1050" s="207"/>
    </row>
    <row r="1051" spans="1:10" s="60" customFormat="1" ht="12.75">
      <c r="A1051" s="147">
        <f t="shared" si="56"/>
        <v>964</v>
      </c>
      <c r="B1051" s="102"/>
      <c r="C1051" s="79" t="s">
        <v>50</v>
      </c>
      <c r="D1051" s="84"/>
      <c r="E1051" s="83"/>
      <c r="F1051" s="136">
        <v>3000</v>
      </c>
      <c r="G1051" s="136">
        <v>3000</v>
      </c>
      <c r="H1051" s="136">
        <v>2500</v>
      </c>
      <c r="I1051" s="207">
        <f t="shared" si="57"/>
        <v>0.8333333333333334</v>
      </c>
      <c r="J1051" s="207">
        <f>H1051/$H$1431</f>
        <v>3.7323734972142854E-05</v>
      </c>
    </row>
    <row r="1052" spans="1:10" s="60" customFormat="1" ht="12.75">
      <c r="A1052" s="147">
        <f t="shared" si="56"/>
        <v>965</v>
      </c>
      <c r="B1052" s="102"/>
      <c r="C1052" s="79" t="s">
        <v>49</v>
      </c>
      <c r="D1052" s="84"/>
      <c r="E1052" s="83"/>
      <c r="F1052" s="136">
        <v>1500</v>
      </c>
      <c r="G1052" s="136">
        <v>1500</v>
      </c>
      <c r="H1052" s="136">
        <v>1000</v>
      </c>
      <c r="I1052" s="207">
        <f t="shared" si="57"/>
        <v>0.6666666666666666</v>
      </c>
      <c r="J1052" s="207">
        <f>H1052/$H$1431</f>
        <v>1.4929493988857141E-05</v>
      </c>
    </row>
    <row r="1053" spans="1:10" s="60" customFormat="1" ht="12.75">
      <c r="A1053" s="147">
        <f t="shared" si="56"/>
        <v>966</v>
      </c>
      <c r="B1053" s="102">
        <v>4400</v>
      </c>
      <c r="C1053" s="103" t="s">
        <v>346</v>
      </c>
      <c r="D1053" s="84"/>
      <c r="E1053" s="83"/>
      <c r="F1053" s="136"/>
      <c r="G1053" s="136"/>
      <c r="H1053" s="136"/>
      <c r="I1053" s="207"/>
      <c r="J1053" s="207"/>
    </row>
    <row r="1054" spans="1:10" s="60" customFormat="1" ht="12.75">
      <c r="A1054" s="147">
        <f t="shared" si="56"/>
        <v>967</v>
      </c>
      <c r="B1054" s="102"/>
      <c r="C1054" s="103" t="s">
        <v>345</v>
      </c>
      <c r="D1054" s="84"/>
      <c r="E1054" s="83"/>
      <c r="F1054" s="136">
        <f>SUM(F1056:F1057)</f>
        <v>24000</v>
      </c>
      <c r="G1054" s="136">
        <f>SUM(G1056:G1057)</f>
        <v>24000</v>
      </c>
      <c r="H1054" s="136">
        <f>SUM(H1056:H1057)</f>
        <v>24000</v>
      </c>
      <c r="I1054" s="207">
        <f t="shared" si="57"/>
        <v>1</v>
      </c>
      <c r="J1054" s="207">
        <f>H1054/$H$1431</f>
        <v>0.0003583078557325714</v>
      </c>
    </row>
    <row r="1055" spans="1:10" s="60" customFormat="1" ht="12.75">
      <c r="A1055" s="147">
        <f aca="true" t="shared" si="58" ref="A1055:A1121">A1054+1</f>
        <v>968</v>
      </c>
      <c r="B1055" s="102"/>
      <c r="C1055" s="103" t="s">
        <v>554</v>
      </c>
      <c r="D1055" s="84"/>
      <c r="E1055" s="83"/>
      <c r="F1055" s="136"/>
      <c r="G1055" s="136"/>
      <c r="H1055" s="136"/>
      <c r="I1055" s="207"/>
      <c r="J1055" s="207"/>
    </row>
    <row r="1056" spans="1:10" s="60" customFormat="1" ht="12.75">
      <c r="A1056" s="147">
        <f t="shared" si="58"/>
        <v>969</v>
      </c>
      <c r="B1056" s="102"/>
      <c r="C1056" s="79" t="s">
        <v>50</v>
      </c>
      <c r="D1056" s="84"/>
      <c r="E1056" s="83"/>
      <c r="F1056" s="136">
        <v>19000</v>
      </c>
      <c r="G1056" s="136">
        <v>19000</v>
      </c>
      <c r="H1056" s="136">
        <v>18340</v>
      </c>
      <c r="I1056" s="207">
        <f t="shared" si="57"/>
        <v>0.9652631578947368</v>
      </c>
      <c r="J1056" s="207">
        <f>H1056/$H$1431</f>
        <v>0.00027380691975563995</v>
      </c>
    </row>
    <row r="1057" spans="1:10" s="60" customFormat="1" ht="12.75">
      <c r="A1057" s="147">
        <f t="shared" si="58"/>
        <v>970</v>
      </c>
      <c r="B1057" s="102"/>
      <c r="C1057" s="79" t="s">
        <v>49</v>
      </c>
      <c r="D1057" s="84"/>
      <c r="E1057" s="83"/>
      <c r="F1057" s="136">
        <v>5000</v>
      </c>
      <c r="G1057" s="136">
        <v>5000</v>
      </c>
      <c r="H1057" s="136">
        <v>5660</v>
      </c>
      <c r="I1057" s="207">
        <f t="shared" si="57"/>
        <v>1.132</v>
      </c>
      <c r="J1057" s="207">
        <f>H1057/$H$1431</f>
        <v>8.450093597693141E-05</v>
      </c>
    </row>
    <row r="1058" spans="1:10" s="60" customFormat="1" ht="12.75">
      <c r="A1058" s="147">
        <f t="shared" si="58"/>
        <v>971</v>
      </c>
      <c r="B1058" s="102">
        <v>4410</v>
      </c>
      <c r="C1058" s="79" t="s">
        <v>555</v>
      </c>
      <c r="D1058" s="84"/>
      <c r="E1058" s="83"/>
      <c r="F1058" s="136">
        <f>SUM(F1060:F1061)</f>
        <v>600</v>
      </c>
      <c r="G1058" s="136">
        <f>SUM(G1060:G1061)</f>
        <v>600</v>
      </c>
      <c r="H1058" s="136">
        <f>SUM(H1060:H1061)</f>
        <v>500</v>
      </c>
      <c r="I1058" s="207">
        <f t="shared" si="57"/>
        <v>0.8333333333333334</v>
      </c>
      <c r="J1058" s="207">
        <f>H1058/$H$1431</f>
        <v>7.464746994428571E-06</v>
      </c>
    </row>
    <row r="1059" spans="1:10" s="60" customFormat="1" ht="12.75">
      <c r="A1059" s="147">
        <f t="shared" si="58"/>
        <v>972</v>
      </c>
      <c r="B1059" s="102"/>
      <c r="C1059" s="79" t="s">
        <v>15</v>
      </c>
      <c r="D1059" s="84"/>
      <c r="E1059" s="83"/>
      <c r="F1059" s="136"/>
      <c r="G1059" s="136"/>
      <c r="H1059" s="136"/>
      <c r="I1059" s="207"/>
      <c r="J1059" s="207"/>
    </row>
    <row r="1060" spans="1:10" s="60" customFormat="1" ht="12.75">
      <c r="A1060" s="147">
        <f t="shared" si="58"/>
        <v>973</v>
      </c>
      <c r="B1060" s="102"/>
      <c r="C1060" s="79" t="s">
        <v>50</v>
      </c>
      <c r="D1060" s="84"/>
      <c r="E1060" s="83"/>
      <c r="F1060" s="136">
        <v>0</v>
      </c>
      <c r="G1060" s="136">
        <v>0</v>
      </c>
      <c r="H1060" s="136">
        <v>500</v>
      </c>
      <c r="I1060" s="207"/>
      <c r="J1060" s="207">
        <f>H1060/$H$1431</f>
        <v>7.464746994428571E-06</v>
      </c>
    </row>
    <row r="1061" spans="1:10" s="60" customFormat="1" ht="12.75">
      <c r="A1061" s="147">
        <f t="shared" si="58"/>
        <v>974</v>
      </c>
      <c r="B1061" s="102"/>
      <c r="C1061" s="79" t="s">
        <v>49</v>
      </c>
      <c r="D1061" s="84"/>
      <c r="E1061" s="83"/>
      <c r="F1061" s="136">
        <v>600</v>
      </c>
      <c r="G1061" s="136">
        <v>600</v>
      </c>
      <c r="H1061" s="136">
        <v>0</v>
      </c>
      <c r="I1061" s="207">
        <f t="shared" si="57"/>
        <v>0</v>
      </c>
      <c r="J1061" s="207"/>
    </row>
    <row r="1062" spans="1:10" s="60" customFormat="1" ht="12.75">
      <c r="A1062" s="147">
        <f t="shared" si="58"/>
        <v>975</v>
      </c>
      <c r="B1062" s="102">
        <v>4440</v>
      </c>
      <c r="C1062" s="103" t="s">
        <v>436</v>
      </c>
      <c r="D1062" s="84"/>
      <c r="E1062" s="83"/>
      <c r="F1062" s="136">
        <v>1700</v>
      </c>
      <c r="G1062" s="136">
        <v>1700</v>
      </c>
      <c r="H1062" s="136">
        <v>1920</v>
      </c>
      <c r="I1062" s="207">
        <f t="shared" si="57"/>
        <v>1.1294117647058823</v>
      </c>
      <c r="J1062" s="207">
        <f>H1062/$H$1431</f>
        <v>2.866462845860571E-05</v>
      </c>
    </row>
    <row r="1063" spans="1:10" s="60" customFormat="1" ht="12.75">
      <c r="A1063" s="147">
        <f t="shared" si="58"/>
        <v>976</v>
      </c>
      <c r="B1063" s="102">
        <v>4700</v>
      </c>
      <c r="C1063" s="103" t="s">
        <v>556</v>
      </c>
      <c r="D1063" s="84"/>
      <c r="E1063" s="83"/>
      <c r="F1063" s="136"/>
      <c r="G1063" s="136"/>
      <c r="H1063" s="136"/>
      <c r="I1063" s="207"/>
      <c r="J1063" s="207"/>
    </row>
    <row r="1064" spans="1:10" s="60" customFormat="1" ht="12.75">
      <c r="A1064" s="147">
        <f t="shared" si="58"/>
        <v>977</v>
      </c>
      <c r="B1064" s="102"/>
      <c r="C1064" s="103" t="s">
        <v>684</v>
      </c>
      <c r="D1064" s="84"/>
      <c r="E1064" s="83"/>
      <c r="F1064" s="136">
        <v>2000</v>
      </c>
      <c r="G1064" s="136">
        <v>2000</v>
      </c>
      <c r="H1064" s="136">
        <v>2000</v>
      </c>
      <c r="I1064" s="207">
        <f t="shared" si="57"/>
        <v>1</v>
      </c>
      <c r="J1064" s="207">
        <f>H1064/$H$1431</f>
        <v>2.9858987977714282E-05</v>
      </c>
    </row>
    <row r="1065" spans="1:10" s="60" customFormat="1" ht="12.75">
      <c r="A1065" s="147">
        <f t="shared" si="58"/>
        <v>978</v>
      </c>
      <c r="B1065" s="102">
        <v>4740</v>
      </c>
      <c r="C1065" s="103" t="s">
        <v>441</v>
      </c>
      <c r="D1065" s="84"/>
      <c r="E1065" s="83"/>
      <c r="F1065" s="136"/>
      <c r="G1065" s="136"/>
      <c r="H1065" s="136"/>
      <c r="I1065" s="207"/>
      <c r="J1065" s="207"/>
    </row>
    <row r="1066" spans="1:10" s="60" customFormat="1" ht="12.75">
      <c r="A1066" s="147">
        <f t="shared" si="58"/>
        <v>979</v>
      </c>
      <c r="B1066" s="102"/>
      <c r="C1066" s="103" t="s">
        <v>306</v>
      </c>
      <c r="D1066" s="84"/>
      <c r="E1066" s="83"/>
      <c r="F1066" s="136">
        <v>2000</v>
      </c>
      <c r="G1066" s="136">
        <v>2000</v>
      </c>
      <c r="H1066" s="136">
        <v>2000</v>
      </c>
      <c r="I1066" s="207">
        <f t="shared" si="57"/>
        <v>1</v>
      </c>
      <c r="J1066" s="207">
        <f>H1066/$H$1431</f>
        <v>2.9858987977714282E-05</v>
      </c>
    </row>
    <row r="1067" spans="1:10" s="60" customFormat="1" ht="12.75">
      <c r="A1067" s="147">
        <f t="shared" si="58"/>
        <v>980</v>
      </c>
      <c r="B1067" s="102">
        <v>4750</v>
      </c>
      <c r="C1067" s="79" t="s">
        <v>272</v>
      </c>
      <c r="D1067" s="84"/>
      <c r="E1067" s="83"/>
      <c r="F1067" s="136"/>
      <c r="G1067" s="136"/>
      <c r="H1067" s="136"/>
      <c r="I1067" s="207"/>
      <c r="J1067" s="207"/>
    </row>
    <row r="1068" spans="1:10" s="60" customFormat="1" ht="12.75">
      <c r="A1068" s="147">
        <f t="shared" si="58"/>
        <v>981</v>
      </c>
      <c r="B1068" s="102"/>
      <c r="C1068" s="79" t="s">
        <v>307</v>
      </c>
      <c r="D1068" s="84"/>
      <c r="E1068" s="83"/>
      <c r="F1068" s="136">
        <v>3500</v>
      </c>
      <c r="G1068" s="136">
        <v>3500</v>
      </c>
      <c r="H1068" s="136">
        <v>3500</v>
      </c>
      <c r="I1068" s="207">
        <f t="shared" si="57"/>
        <v>1</v>
      </c>
      <c r="J1068" s="207">
        <f>H1068/$H$1431</f>
        <v>5.225322896099999E-05</v>
      </c>
    </row>
    <row r="1069" spans="1:10" s="60" customFormat="1" ht="12.75">
      <c r="A1069" s="147">
        <f t="shared" si="58"/>
        <v>982</v>
      </c>
      <c r="B1069" s="102">
        <v>6060</v>
      </c>
      <c r="C1069" s="79" t="s">
        <v>710</v>
      </c>
      <c r="D1069" s="84"/>
      <c r="E1069" s="83"/>
      <c r="F1069" s="136"/>
      <c r="G1069" s="136"/>
      <c r="H1069" s="136"/>
      <c r="I1069" s="207"/>
      <c r="J1069" s="207"/>
    </row>
    <row r="1070" spans="1:10" s="60" customFormat="1" ht="12.75">
      <c r="A1070" s="147">
        <f t="shared" si="58"/>
        <v>983</v>
      </c>
      <c r="B1070" s="102"/>
      <c r="C1070" s="79" t="s">
        <v>557</v>
      </c>
      <c r="D1070" s="84"/>
      <c r="E1070" s="83"/>
      <c r="F1070" s="136">
        <v>5500</v>
      </c>
      <c r="G1070" s="136">
        <v>5500</v>
      </c>
      <c r="H1070" s="136">
        <v>0</v>
      </c>
      <c r="I1070" s="207">
        <f t="shared" si="57"/>
        <v>0</v>
      </c>
      <c r="J1070" s="207">
        <f>H1070/$H$1431</f>
        <v>0</v>
      </c>
    </row>
    <row r="1071" spans="1:10" s="60" customFormat="1" ht="12.75">
      <c r="A1071" s="147"/>
      <c r="B1071" s="102"/>
      <c r="C1071" s="79"/>
      <c r="D1071" s="84"/>
      <c r="E1071" s="83"/>
      <c r="F1071" s="136"/>
      <c r="G1071" s="136"/>
      <c r="H1071" s="136"/>
      <c r="I1071" s="207"/>
      <c r="J1071" s="207"/>
    </row>
    <row r="1072" spans="1:10" s="60" customFormat="1" ht="12.75">
      <c r="A1072" s="147"/>
      <c r="B1072" s="102"/>
      <c r="C1072" s="79"/>
      <c r="D1072" s="84"/>
      <c r="E1072" s="83"/>
      <c r="F1072" s="136"/>
      <c r="G1072" s="136"/>
      <c r="H1072" s="136"/>
      <c r="I1072" s="207"/>
      <c r="J1072" s="207"/>
    </row>
    <row r="1073" spans="1:10" s="60" customFormat="1" ht="12.75">
      <c r="A1073" s="147"/>
      <c r="B1073" s="102"/>
      <c r="C1073" s="79"/>
      <c r="D1073" s="84"/>
      <c r="E1073" s="83"/>
      <c r="F1073" s="136"/>
      <c r="G1073" s="136"/>
      <c r="H1073" s="136"/>
      <c r="I1073" s="207"/>
      <c r="J1073" s="207"/>
    </row>
    <row r="1074" spans="1:10" ht="12.75">
      <c r="A1074" s="147">
        <f>A1070+1</f>
        <v>984</v>
      </c>
      <c r="B1074" s="62">
        <v>85213</v>
      </c>
      <c r="C1074" s="68" t="s">
        <v>178</v>
      </c>
      <c r="D1074" s="25"/>
      <c r="E1074" s="46"/>
      <c r="F1074" s="131"/>
      <c r="G1074" s="131"/>
      <c r="H1074" s="131"/>
      <c r="I1074" s="207"/>
      <c r="J1074" s="207"/>
    </row>
    <row r="1075" spans="1:10" ht="12.75">
      <c r="A1075" s="147">
        <f t="shared" si="58"/>
        <v>985</v>
      </c>
      <c r="B1075" s="69"/>
      <c r="C1075" s="68" t="s">
        <v>179</v>
      </c>
      <c r="D1075" s="25"/>
      <c r="E1075" s="46"/>
      <c r="F1075" s="131"/>
      <c r="G1075" s="131"/>
      <c r="H1075" s="131"/>
      <c r="I1075" s="207"/>
      <c r="J1075" s="207"/>
    </row>
    <row r="1076" spans="1:10" ht="12.75">
      <c r="A1076" s="147">
        <f t="shared" si="58"/>
        <v>986</v>
      </c>
      <c r="B1076" s="69"/>
      <c r="C1076" s="68" t="s">
        <v>208</v>
      </c>
      <c r="D1076" s="25"/>
      <c r="E1076" s="46"/>
      <c r="F1076" s="131"/>
      <c r="G1076" s="131"/>
      <c r="H1076" s="131"/>
      <c r="I1076" s="207"/>
      <c r="J1076" s="207"/>
    </row>
    <row r="1077" spans="1:10" ht="12.75">
      <c r="A1077" s="147">
        <f t="shared" si="58"/>
        <v>987</v>
      </c>
      <c r="B1077" s="69"/>
      <c r="C1077" s="68" t="s">
        <v>209</v>
      </c>
      <c r="D1077" s="25"/>
      <c r="E1077" s="46"/>
      <c r="F1077" s="138">
        <f>F1078</f>
        <v>13000</v>
      </c>
      <c r="G1077" s="138">
        <f>G1078</f>
        <v>13000</v>
      </c>
      <c r="H1077" s="138">
        <f>H1078</f>
        <v>14000</v>
      </c>
      <c r="I1077" s="207">
        <f t="shared" si="57"/>
        <v>1.0769230769230769</v>
      </c>
      <c r="J1077" s="207">
        <f>H1077/$H$1431</f>
        <v>0.00020901291584399996</v>
      </c>
    </row>
    <row r="1078" spans="1:10" ht="12.75">
      <c r="A1078" s="147">
        <f t="shared" si="58"/>
        <v>988</v>
      </c>
      <c r="B1078" s="102">
        <v>4130</v>
      </c>
      <c r="C1078" s="79" t="s">
        <v>180</v>
      </c>
      <c r="D1078" s="25"/>
      <c r="E1078" s="46"/>
      <c r="F1078" s="131">
        <v>13000</v>
      </c>
      <c r="G1078" s="131">
        <v>13000</v>
      </c>
      <c r="H1078" s="131">
        <v>14000</v>
      </c>
      <c r="I1078" s="207">
        <f t="shared" si="57"/>
        <v>1.0769230769230769</v>
      </c>
      <c r="J1078" s="207">
        <f>H1078/$H$1431</f>
        <v>0.00020901291584399996</v>
      </c>
    </row>
    <row r="1079" spans="1:10" ht="12.75">
      <c r="A1079" s="147">
        <f t="shared" si="58"/>
        <v>989</v>
      </c>
      <c r="B1079" s="11">
        <v>85214</v>
      </c>
      <c r="C1079" s="68" t="s">
        <v>107</v>
      </c>
      <c r="D1079" s="25"/>
      <c r="E1079" s="46"/>
      <c r="F1079" s="131"/>
      <c r="G1079" s="131"/>
      <c r="H1079" s="131"/>
      <c r="I1079" s="207"/>
      <c r="J1079" s="207"/>
    </row>
    <row r="1080" spans="1:10" ht="12.75">
      <c r="A1080" s="147">
        <f t="shared" si="58"/>
        <v>990</v>
      </c>
      <c r="B1080" s="11"/>
      <c r="C1080" s="68" t="s">
        <v>184</v>
      </c>
      <c r="D1080" s="25"/>
      <c r="E1080" s="46"/>
      <c r="F1080" s="138">
        <f>F1081+F1086+F1092</f>
        <v>497000</v>
      </c>
      <c r="G1080" s="138">
        <f>G1081+G1086+G1092</f>
        <v>497000</v>
      </c>
      <c r="H1080" s="138">
        <f>H1081+H1086+H1092</f>
        <v>572000</v>
      </c>
      <c r="I1080" s="207">
        <f t="shared" si="57"/>
        <v>1.1509054325955734</v>
      </c>
      <c r="J1080" s="207">
        <f>H1080/$H$1431</f>
        <v>0.008539670561626285</v>
      </c>
    </row>
    <row r="1081" spans="1:10" ht="12.75">
      <c r="A1081" s="147">
        <f t="shared" si="58"/>
        <v>991</v>
      </c>
      <c r="B1081" s="4">
        <v>3110</v>
      </c>
      <c r="C1081" s="79" t="s">
        <v>48</v>
      </c>
      <c r="D1081" s="25"/>
      <c r="E1081" s="46"/>
      <c r="F1081" s="131">
        <f>SUM(F1083:F1085)</f>
        <v>446000</v>
      </c>
      <c r="G1081" s="131">
        <f>SUM(G1083:G1085)</f>
        <v>446000</v>
      </c>
      <c r="H1081" s="131">
        <f>SUM(H1083:H1085)</f>
        <v>489000</v>
      </c>
      <c r="I1081" s="207">
        <f t="shared" si="57"/>
        <v>1.0964125560538116</v>
      </c>
      <c r="J1081" s="207">
        <f>H1081/$H$1431</f>
        <v>0.007300522560551141</v>
      </c>
    </row>
    <row r="1082" spans="1:10" ht="12.75">
      <c r="A1082" s="147">
        <f t="shared" si="58"/>
        <v>992</v>
      </c>
      <c r="B1082" s="4"/>
      <c r="C1082" s="79" t="s">
        <v>15</v>
      </c>
      <c r="D1082" s="25"/>
      <c r="E1082" s="46"/>
      <c r="F1082" s="131"/>
      <c r="G1082" s="131"/>
      <c r="H1082" s="131"/>
      <c r="I1082" s="207"/>
      <c r="J1082" s="207"/>
    </row>
    <row r="1083" spans="1:10" ht="12.75">
      <c r="A1083" s="147">
        <f t="shared" si="58"/>
        <v>993</v>
      </c>
      <c r="B1083" s="4"/>
      <c r="C1083" s="79" t="s">
        <v>49</v>
      </c>
      <c r="D1083" s="25"/>
      <c r="E1083" s="46"/>
      <c r="F1083" s="131">
        <v>134000</v>
      </c>
      <c r="G1083" s="131">
        <v>134000</v>
      </c>
      <c r="H1083" s="131">
        <v>133000</v>
      </c>
      <c r="I1083" s="207">
        <f t="shared" si="57"/>
        <v>0.9925373134328358</v>
      </c>
      <c r="J1083" s="207">
        <f>H1083/$H$1431</f>
        <v>0.0019856227005179998</v>
      </c>
    </row>
    <row r="1084" spans="1:10" ht="12.75">
      <c r="A1084" s="147">
        <f t="shared" si="58"/>
        <v>994</v>
      </c>
      <c r="B1084" s="4"/>
      <c r="C1084" s="79" t="s">
        <v>50</v>
      </c>
      <c r="D1084" s="25"/>
      <c r="E1084" s="46"/>
      <c r="F1084" s="131">
        <v>150000</v>
      </c>
      <c r="G1084" s="131">
        <v>150000</v>
      </c>
      <c r="H1084" s="131">
        <v>195000</v>
      </c>
      <c r="I1084" s="207">
        <f t="shared" si="57"/>
        <v>1.3</v>
      </c>
      <c r="J1084" s="207">
        <f>H1084/$H$1431</f>
        <v>0.0029112513278271423</v>
      </c>
    </row>
    <row r="1085" spans="1:10" ht="12.75">
      <c r="A1085" s="147">
        <f t="shared" si="58"/>
        <v>995</v>
      </c>
      <c r="B1085" s="4"/>
      <c r="C1085" s="79" t="s">
        <v>207</v>
      </c>
      <c r="D1085" s="25"/>
      <c r="E1085" s="46"/>
      <c r="F1085" s="131">
        <v>162000</v>
      </c>
      <c r="G1085" s="131">
        <v>162000</v>
      </c>
      <c r="H1085" s="131">
        <v>161000</v>
      </c>
      <c r="I1085" s="207">
        <f t="shared" si="57"/>
        <v>0.9938271604938271</v>
      </c>
      <c r="J1085" s="207">
        <f>H1085/$H$1431</f>
        <v>0.0024036485322059997</v>
      </c>
    </row>
    <row r="1086" spans="1:10" ht="12.75">
      <c r="A1086" s="147">
        <f t="shared" si="58"/>
        <v>996</v>
      </c>
      <c r="B1086" s="4">
        <v>4110</v>
      </c>
      <c r="C1086" s="79" t="s">
        <v>32</v>
      </c>
      <c r="D1086" s="25"/>
      <c r="E1086" s="46"/>
      <c r="F1086" s="131">
        <f>SUM(F1088:F1089)</f>
        <v>1000</v>
      </c>
      <c r="G1086" s="131">
        <f>SUM(G1088:G1089)</f>
        <v>1000</v>
      </c>
      <c r="H1086" s="131">
        <f>SUM(H1088:H1089)</f>
        <v>3000</v>
      </c>
      <c r="I1086" s="207">
        <f t="shared" si="57"/>
        <v>3</v>
      </c>
      <c r="J1086" s="207">
        <f>H1086/$H$1431</f>
        <v>4.478848196657142E-05</v>
      </c>
    </row>
    <row r="1087" spans="1:10" ht="12.75">
      <c r="A1087" s="147">
        <f t="shared" si="58"/>
        <v>997</v>
      </c>
      <c r="B1087" s="4"/>
      <c r="C1087" s="79" t="s">
        <v>15</v>
      </c>
      <c r="D1087" s="25"/>
      <c r="E1087" s="46"/>
      <c r="F1087" s="131"/>
      <c r="G1087" s="131"/>
      <c r="H1087" s="131"/>
      <c r="I1087" s="207"/>
      <c r="J1087" s="207"/>
    </row>
    <row r="1088" spans="1:10" ht="12.75">
      <c r="A1088" s="147">
        <f t="shared" si="58"/>
        <v>998</v>
      </c>
      <c r="B1088" s="4"/>
      <c r="C1088" s="79" t="s">
        <v>49</v>
      </c>
      <c r="D1088" s="25"/>
      <c r="E1088" s="46"/>
      <c r="F1088" s="131">
        <v>1000</v>
      </c>
      <c r="G1088" s="131">
        <v>1000</v>
      </c>
      <c r="H1088" s="131">
        <v>1000</v>
      </c>
      <c r="I1088" s="207">
        <f t="shared" si="57"/>
        <v>1</v>
      </c>
      <c r="J1088" s="207">
        <f>H1088/$H$1431</f>
        <v>1.4929493988857141E-05</v>
      </c>
    </row>
    <row r="1089" spans="1:10" ht="12.75">
      <c r="A1089" s="147">
        <f t="shared" si="58"/>
        <v>999</v>
      </c>
      <c r="B1089" s="4"/>
      <c r="C1089" s="79" t="s">
        <v>50</v>
      </c>
      <c r="D1089" s="25"/>
      <c r="E1089" s="46"/>
      <c r="F1089" s="131">
        <v>0</v>
      </c>
      <c r="G1089" s="131">
        <v>0</v>
      </c>
      <c r="H1089" s="131">
        <v>2000</v>
      </c>
      <c r="I1089" s="207"/>
      <c r="J1089" s="207">
        <f>H1089/$H$1431</f>
        <v>2.9858987977714282E-05</v>
      </c>
    </row>
    <row r="1090" spans="1:10" ht="12.75">
      <c r="A1090" s="147">
        <f t="shared" si="58"/>
        <v>1000</v>
      </c>
      <c r="B1090" s="4">
        <v>4330</v>
      </c>
      <c r="C1090" s="79" t="s">
        <v>215</v>
      </c>
      <c r="D1090" s="25"/>
      <c r="E1090" s="46"/>
      <c r="F1090" s="131"/>
      <c r="G1090" s="131"/>
      <c r="H1090" s="131"/>
      <c r="I1090" s="207"/>
      <c r="J1090" s="207"/>
    </row>
    <row r="1091" spans="1:10" ht="12.75">
      <c r="A1091" s="147">
        <f t="shared" si="58"/>
        <v>1001</v>
      </c>
      <c r="B1091" s="4"/>
      <c r="C1091" s="79" t="s">
        <v>216</v>
      </c>
      <c r="D1091" s="25"/>
      <c r="E1091" s="46"/>
      <c r="F1091" s="131"/>
      <c r="G1091" s="131"/>
      <c r="H1091" s="131"/>
      <c r="I1091" s="207"/>
      <c r="J1091" s="207"/>
    </row>
    <row r="1092" spans="1:10" ht="12.75">
      <c r="A1092" s="147">
        <f t="shared" si="58"/>
        <v>1002</v>
      </c>
      <c r="B1092" s="4"/>
      <c r="C1092" s="79" t="s">
        <v>217</v>
      </c>
      <c r="D1092" s="25"/>
      <c r="E1092" s="46"/>
      <c r="F1092" s="131">
        <v>50000</v>
      </c>
      <c r="G1092" s="131">
        <v>50000</v>
      </c>
      <c r="H1092" s="131">
        <v>80000</v>
      </c>
      <c r="I1092" s="207">
        <f t="shared" si="57"/>
        <v>1.6</v>
      </c>
      <c r="J1092" s="207">
        <f>H1092/$H$1431</f>
        <v>0.0011943595191085713</v>
      </c>
    </row>
    <row r="1093" spans="1:10" ht="12.75">
      <c r="A1093" s="147">
        <f t="shared" si="58"/>
        <v>1003</v>
      </c>
      <c r="B1093" s="11">
        <v>85215</v>
      </c>
      <c r="C1093" s="68" t="s">
        <v>56</v>
      </c>
      <c r="D1093" s="25"/>
      <c r="E1093" s="46"/>
      <c r="F1093" s="138">
        <f>F1094</f>
        <v>200000</v>
      </c>
      <c r="G1093" s="138">
        <f>G1094</f>
        <v>200000</v>
      </c>
      <c r="H1093" s="138">
        <f>H1094</f>
        <v>200000</v>
      </c>
      <c r="I1093" s="207">
        <f t="shared" si="57"/>
        <v>1</v>
      </c>
      <c r="J1093" s="207">
        <f>H1093/$H$1431</f>
        <v>0.002985898797771428</v>
      </c>
    </row>
    <row r="1094" spans="1:10" ht="12.75">
      <c r="A1094" s="147">
        <f t="shared" si="58"/>
        <v>1004</v>
      </c>
      <c r="B1094" s="4">
        <v>3110</v>
      </c>
      <c r="C1094" s="79" t="s">
        <v>48</v>
      </c>
      <c r="D1094" s="25"/>
      <c r="E1094" s="46"/>
      <c r="F1094" s="136">
        <v>200000</v>
      </c>
      <c r="G1094" s="136">
        <v>200000</v>
      </c>
      <c r="H1094" s="136">
        <v>200000</v>
      </c>
      <c r="I1094" s="207">
        <f t="shared" si="57"/>
        <v>1</v>
      </c>
      <c r="J1094" s="207">
        <f>H1094/$H$1431</f>
        <v>0.002985898797771428</v>
      </c>
    </row>
    <row r="1095" spans="1:10" ht="12.75">
      <c r="A1095" s="147">
        <f t="shared" si="58"/>
        <v>1005</v>
      </c>
      <c r="B1095" s="62">
        <v>85219</v>
      </c>
      <c r="C1095" s="68" t="s">
        <v>108</v>
      </c>
      <c r="D1095" s="25"/>
      <c r="E1095" s="46"/>
      <c r="F1095" s="138">
        <f>+F1096+F1100+F1101+F1102+F1103+F1104+F1105+F1109+F1110+F1111+F1113+F1115+F1116+F1117+F1118+F1120+F1122+F1124</f>
        <v>632790</v>
      </c>
      <c r="G1095" s="138">
        <f>+G1096+G1100+G1101+G1102+G1103+G1104+G1105+G1109+G1110+G1111+G1113+G1115+G1116+G1117+G1118+G1120+G1122+G1124</f>
        <v>632790</v>
      </c>
      <c r="H1095" s="138">
        <f>+H1096+H1100+H1101+H1102+H1103+H1104+H1105+H1109+H1110+H1111+H1113+H1115+H1116+H1117+H1118+H1120+H1122+H1124</f>
        <v>716540</v>
      </c>
      <c r="I1095" s="207">
        <f t="shared" si="57"/>
        <v>1.1323503848038055</v>
      </c>
      <c r="J1095" s="207">
        <f>H1095/$H$1431</f>
        <v>0.010697579622775696</v>
      </c>
    </row>
    <row r="1096" spans="1:10" ht="12.75">
      <c r="A1096" s="147">
        <f t="shared" si="58"/>
        <v>1006</v>
      </c>
      <c r="B1096" s="4">
        <v>3020</v>
      </c>
      <c r="C1096" s="79" t="s">
        <v>218</v>
      </c>
      <c r="D1096" s="25"/>
      <c r="E1096" s="46"/>
      <c r="F1096" s="131">
        <f>SUM(F1098:F1099)</f>
        <v>5000</v>
      </c>
      <c r="G1096" s="131">
        <f>SUM(G1098:G1099)</f>
        <v>5000</v>
      </c>
      <c r="H1096" s="131">
        <f>SUM(H1098:H1099)</f>
        <v>3500</v>
      </c>
      <c r="I1096" s="207">
        <f t="shared" si="57"/>
        <v>0.7</v>
      </c>
      <c r="J1096" s="207">
        <f>H1096/$H$1431</f>
        <v>5.225322896099999E-05</v>
      </c>
    </row>
    <row r="1097" spans="1:10" ht="12.75">
      <c r="A1097" s="147">
        <f t="shared" si="58"/>
        <v>1007</v>
      </c>
      <c r="B1097" s="4"/>
      <c r="C1097" s="79" t="s">
        <v>15</v>
      </c>
      <c r="D1097" s="25"/>
      <c r="E1097" s="46"/>
      <c r="F1097" s="131"/>
      <c r="G1097" s="131"/>
      <c r="H1097" s="131"/>
      <c r="I1097" s="207"/>
      <c r="J1097" s="207"/>
    </row>
    <row r="1098" spans="1:10" ht="12.75">
      <c r="A1098" s="147">
        <f t="shared" si="58"/>
        <v>1008</v>
      </c>
      <c r="B1098" s="4"/>
      <c r="C1098" s="79" t="s">
        <v>237</v>
      </c>
      <c r="D1098" s="25"/>
      <c r="E1098" s="46"/>
      <c r="F1098" s="131">
        <v>3000</v>
      </c>
      <c r="G1098" s="131">
        <v>3000</v>
      </c>
      <c r="H1098" s="131">
        <v>3500</v>
      </c>
      <c r="I1098" s="207">
        <f t="shared" si="57"/>
        <v>1.1666666666666667</v>
      </c>
      <c r="J1098" s="207">
        <f aca="true" t="shared" si="59" ref="J1098:J1105">H1098/$H$1431</f>
        <v>5.225322896099999E-05</v>
      </c>
    </row>
    <row r="1099" spans="1:10" ht="12.75">
      <c r="A1099" s="147">
        <f t="shared" si="58"/>
        <v>1009</v>
      </c>
      <c r="B1099" s="4"/>
      <c r="C1099" s="79" t="s">
        <v>81</v>
      </c>
      <c r="D1099" s="25"/>
      <c r="E1099" s="46"/>
      <c r="F1099" s="131">
        <v>2000</v>
      </c>
      <c r="G1099" s="131">
        <v>2000</v>
      </c>
      <c r="H1099" s="131">
        <v>0</v>
      </c>
      <c r="I1099" s="207">
        <f t="shared" si="57"/>
        <v>0</v>
      </c>
      <c r="J1099" s="207">
        <f t="shared" si="59"/>
        <v>0</v>
      </c>
    </row>
    <row r="1100" spans="1:10" ht="12.75">
      <c r="A1100" s="147">
        <f t="shared" si="58"/>
        <v>1010</v>
      </c>
      <c r="B1100" s="4">
        <v>4010</v>
      </c>
      <c r="C1100" s="79" t="s">
        <v>27</v>
      </c>
      <c r="D1100" s="25"/>
      <c r="E1100" s="46"/>
      <c r="F1100" s="131">
        <v>374400</v>
      </c>
      <c r="G1100" s="131">
        <v>374400</v>
      </c>
      <c r="H1100" s="131">
        <v>428500</v>
      </c>
      <c r="I1100" s="207">
        <f t="shared" si="57"/>
        <v>1.1444978632478633</v>
      </c>
      <c r="J1100" s="207">
        <f t="shared" si="59"/>
        <v>0.0063972881742252845</v>
      </c>
    </row>
    <row r="1101" spans="1:10" ht="12.75">
      <c r="A1101" s="147">
        <f t="shared" si="58"/>
        <v>1011</v>
      </c>
      <c r="B1101" s="4">
        <v>4040</v>
      </c>
      <c r="C1101" s="79" t="s">
        <v>28</v>
      </c>
      <c r="D1101" s="25"/>
      <c r="E1101" s="46"/>
      <c r="F1101" s="131">
        <v>28000</v>
      </c>
      <c r="G1101" s="131">
        <v>28000</v>
      </c>
      <c r="H1101" s="131">
        <v>31800</v>
      </c>
      <c r="I1101" s="207">
        <f t="shared" si="57"/>
        <v>1.1357142857142857</v>
      </c>
      <c r="J1101" s="207">
        <f t="shared" si="59"/>
        <v>0.00047475790884565707</v>
      </c>
    </row>
    <row r="1102" spans="1:10" ht="12.75">
      <c r="A1102" s="147">
        <f t="shared" si="58"/>
        <v>1012</v>
      </c>
      <c r="B1102" s="4">
        <v>4110</v>
      </c>
      <c r="C1102" s="79" t="s">
        <v>54</v>
      </c>
      <c r="D1102" s="25"/>
      <c r="E1102" s="46"/>
      <c r="F1102" s="131">
        <v>62500</v>
      </c>
      <c r="G1102" s="131">
        <v>62500</v>
      </c>
      <c r="H1102" s="131">
        <v>72550</v>
      </c>
      <c r="I1102" s="207">
        <f t="shared" si="57"/>
        <v>1.1608</v>
      </c>
      <c r="J1102" s="207">
        <f t="shared" si="59"/>
        <v>0.0010831347888915854</v>
      </c>
    </row>
    <row r="1103" spans="1:10" ht="12.75">
      <c r="A1103" s="147">
        <f t="shared" si="58"/>
        <v>1013</v>
      </c>
      <c r="B1103" s="4">
        <v>4120</v>
      </c>
      <c r="C1103" s="79" t="s">
        <v>33</v>
      </c>
      <c r="D1103" s="25"/>
      <c r="E1103" s="46"/>
      <c r="F1103" s="131">
        <v>9700</v>
      </c>
      <c r="G1103" s="131">
        <v>9700</v>
      </c>
      <c r="H1103" s="131">
        <v>11300</v>
      </c>
      <c r="I1103" s="207">
        <f t="shared" si="57"/>
        <v>1.1649484536082475</v>
      </c>
      <c r="J1103" s="207">
        <f t="shared" si="59"/>
        <v>0.0001687032820740857</v>
      </c>
    </row>
    <row r="1104" spans="1:10" ht="12.75">
      <c r="A1104" s="147">
        <f t="shared" si="58"/>
        <v>1014</v>
      </c>
      <c r="B1104" s="4">
        <v>4170</v>
      </c>
      <c r="C1104" s="79" t="s">
        <v>211</v>
      </c>
      <c r="D1104" s="25"/>
      <c r="E1104" s="46"/>
      <c r="F1104" s="131">
        <v>4200</v>
      </c>
      <c r="G1104" s="131">
        <v>4200</v>
      </c>
      <c r="H1104" s="131">
        <v>7800</v>
      </c>
      <c r="I1104" s="207">
        <f t="shared" si="57"/>
        <v>1.8571428571428572</v>
      </c>
      <c r="J1104" s="207">
        <f t="shared" si="59"/>
        <v>0.00011645005311308569</v>
      </c>
    </row>
    <row r="1105" spans="1:10" ht="12.75">
      <c r="A1105" s="147">
        <f t="shared" si="58"/>
        <v>1015</v>
      </c>
      <c r="B1105" s="4">
        <v>4210</v>
      </c>
      <c r="C1105" s="79" t="s">
        <v>132</v>
      </c>
      <c r="D1105" s="25"/>
      <c r="E1105" s="46"/>
      <c r="F1105" s="131">
        <f>SUM(F1107:F1108)</f>
        <v>11100</v>
      </c>
      <c r="G1105" s="131">
        <f>SUM(G1107:G1108)</f>
        <v>11100</v>
      </c>
      <c r="H1105" s="131">
        <f>SUM(H1107:H1108)</f>
        <v>11600</v>
      </c>
      <c r="I1105" s="207">
        <f t="shared" si="57"/>
        <v>1.045045045045045</v>
      </c>
      <c r="J1105" s="207">
        <f t="shared" si="59"/>
        <v>0.00017318213027074284</v>
      </c>
    </row>
    <row r="1106" spans="1:10" ht="12.75">
      <c r="A1106" s="147">
        <f t="shared" si="58"/>
        <v>1016</v>
      </c>
      <c r="B1106" s="4"/>
      <c r="C1106" s="79" t="s">
        <v>15</v>
      </c>
      <c r="D1106" s="25"/>
      <c r="E1106" s="46"/>
      <c r="F1106" s="131"/>
      <c r="G1106" s="131"/>
      <c r="H1106" s="131"/>
      <c r="I1106" s="207"/>
      <c r="J1106" s="207"/>
    </row>
    <row r="1107" spans="1:10" ht="12.75">
      <c r="A1107" s="147">
        <f t="shared" si="58"/>
        <v>1017</v>
      </c>
      <c r="B1107" s="4"/>
      <c r="C1107" s="79" t="s">
        <v>368</v>
      </c>
      <c r="D1107" s="25"/>
      <c r="E1107" s="46"/>
      <c r="F1107" s="131">
        <v>11100</v>
      </c>
      <c r="G1107" s="131">
        <v>11100</v>
      </c>
      <c r="H1107" s="131">
        <v>11600</v>
      </c>
      <c r="I1107" s="207">
        <f aca="true" t="shared" si="60" ref="I1107:I1169">H1107/G1107</f>
        <v>1.045045045045045</v>
      </c>
      <c r="J1107" s="207">
        <f>H1107/$H$1431</f>
        <v>0.00017318213027074284</v>
      </c>
    </row>
    <row r="1108" spans="1:10" ht="12.75">
      <c r="A1108" s="147">
        <f t="shared" si="58"/>
        <v>1018</v>
      </c>
      <c r="B1108" s="4"/>
      <c r="C1108" s="79" t="s">
        <v>369</v>
      </c>
      <c r="D1108" s="25"/>
      <c r="E1108" s="46"/>
      <c r="F1108" s="131">
        <v>0</v>
      </c>
      <c r="G1108" s="131">
        <v>0</v>
      </c>
      <c r="H1108" s="131">
        <v>0</v>
      </c>
      <c r="I1108" s="207"/>
      <c r="J1108" s="207"/>
    </row>
    <row r="1109" spans="1:10" ht="12.75">
      <c r="A1109" s="147">
        <f t="shared" si="58"/>
        <v>1019</v>
      </c>
      <c r="B1109" s="4">
        <v>4280</v>
      </c>
      <c r="C1109" s="79" t="s">
        <v>252</v>
      </c>
      <c r="D1109" s="25"/>
      <c r="E1109" s="46"/>
      <c r="F1109" s="131">
        <v>1100</v>
      </c>
      <c r="G1109" s="131">
        <v>1100</v>
      </c>
      <c r="H1109" s="131">
        <v>1800</v>
      </c>
      <c r="I1109" s="207">
        <f t="shared" si="60"/>
        <v>1.6363636363636365</v>
      </c>
      <c r="J1109" s="207">
        <f>H1109/$H$1431</f>
        <v>2.6873089179942854E-05</v>
      </c>
    </row>
    <row r="1110" spans="1:10" ht="12.75">
      <c r="A1110" s="147">
        <f t="shared" si="58"/>
        <v>1020</v>
      </c>
      <c r="B1110" s="4">
        <v>4300</v>
      </c>
      <c r="C1110" s="79" t="s">
        <v>130</v>
      </c>
      <c r="D1110" s="25"/>
      <c r="E1110" s="46"/>
      <c r="F1110" s="131">
        <v>56190</v>
      </c>
      <c r="G1110" s="131">
        <v>56190</v>
      </c>
      <c r="H1110" s="131">
        <v>64790</v>
      </c>
      <c r="I1110" s="207">
        <f t="shared" si="60"/>
        <v>1.1530521445096993</v>
      </c>
      <c r="J1110" s="207">
        <f>H1110/$H$1431</f>
        <v>0.0009672819155380542</v>
      </c>
    </row>
    <row r="1111" spans="1:10" ht="12.75">
      <c r="A1111" s="147">
        <f t="shared" si="58"/>
        <v>1021</v>
      </c>
      <c r="B1111" s="15">
        <v>4350</v>
      </c>
      <c r="C1111" s="117" t="s">
        <v>287</v>
      </c>
      <c r="D1111" s="25"/>
      <c r="E1111" s="46"/>
      <c r="F1111" s="131">
        <v>1500</v>
      </c>
      <c r="G1111" s="131">
        <v>1500</v>
      </c>
      <c r="H1111" s="131">
        <v>1500</v>
      </c>
      <c r="I1111" s="207">
        <f t="shared" si="60"/>
        <v>1</v>
      </c>
      <c r="J1111" s="207">
        <f>H1111/$H$1431</f>
        <v>2.239424098328571E-05</v>
      </c>
    </row>
    <row r="1112" spans="1:10" ht="12.75">
      <c r="A1112" s="147">
        <f t="shared" si="58"/>
        <v>1022</v>
      </c>
      <c r="B1112" s="15">
        <v>4370</v>
      </c>
      <c r="C1112" s="117" t="s">
        <v>280</v>
      </c>
      <c r="D1112" s="25"/>
      <c r="E1112" s="46"/>
      <c r="F1112" s="131"/>
      <c r="G1112" s="131"/>
      <c r="H1112" s="131"/>
      <c r="I1112" s="207"/>
      <c r="J1112" s="207"/>
    </row>
    <row r="1113" spans="1:10" ht="12.75">
      <c r="A1113" s="147">
        <f t="shared" si="58"/>
        <v>1023</v>
      </c>
      <c r="B1113" s="15"/>
      <c r="C1113" s="117" t="s">
        <v>266</v>
      </c>
      <c r="D1113" s="25"/>
      <c r="E1113" s="46"/>
      <c r="F1113" s="131">
        <v>8700</v>
      </c>
      <c r="G1113" s="131">
        <v>8700</v>
      </c>
      <c r="H1113" s="131">
        <v>8700</v>
      </c>
      <c r="I1113" s="207">
        <f t="shared" si="60"/>
        <v>1</v>
      </c>
      <c r="J1113" s="207">
        <f>H1113/$H$1431</f>
        <v>0.00012988659770305712</v>
      </c>
    </row>
    <row r="1114" spans="1:10" ht="12.75">
      <c r="A1114" s="147">
        <f t="shared" si="58"/>
        <v>1024</v>
      </c>
      <c r="B1114" s="102">
        <v>4400</v>
      </c>
      <c r="C1114" s="79" t="s">
        <v>346</v>
      </c>
      <c r="D1114" s="25"/>
      <c r="E1114" s="46"/>
      <c r="F1114" s="131"/>
      <c r="G1114" s="131"/>
      <c r="H1114" s="131"/>
      <c r="I1114" s="207"/>
      <c r="J1114" s="207"/>
    </row>
    <row r="1115" spans="1:10" ht="12.75">
      <c r="A1115" s="147">
        <f t="shared" si="58"/>
        <v>1025</v>
      </c>
      <c r="B1115" s="102"/>
      <c r="C1115" s="79" t="s">
        <v>345</v>
      </c>
      <c r="D1115" s="25"/>
      <c r="E1115" s="46"/>
      <c r="F1115" s="131">
        <v>44000</v>
      </c>
      <c r="G1115" s="131">
        <v>44000</v>
      </c>
      <c r="H1115" s="131">
        <v>45300</v>
      </c>
      <c r="I1115" s="207">
        <f t="shared" si="60"/>
        <v>1.0295454545454545</v>
      </c>
      <c r="J1115" s="207">
        <f>H1115/$H$1431</f>
        <v>0.0006763060776952285</v>
      </c>
    </row>
    <row r="1116" spans="1:10" ht="12.75">
      <c r="A1116" s="147">
        <f t="shared" si="58"/>
        <v>1026</v>
      </c>
      <c r="B1116" s="4">
        <v>4410</v>
      </c>
      <c r="C1116" s="79" t="s">
        <v>29</v>
      </c>
      <c r="D1116" s="25"/>
      <c r="E1116" s="46"/>
      <c r="F1116" s="131">
        <v>4000</v>
      </c>
      <c r="G1116" s="131">
        <v>4000</v>
      </c>
      <c r="H1116" s="131">
        <v>4000</v>
      </c>
      <c r="I1116" s="207">
        <f t="shared" si="60"/>
        <v>1</v>
      </c>
      <c r="J1116" s="207">
        <f>H1116/$H$1431</f>
        <v>5.9717975955428565E-05</v>
      </c>
    </row>
    <row r="1117" spans="1:10" ht="12.75">
      <c r="A1117" s="147">
        <f t="shared" si="58"/>
        <v>1027</v>
      </c>
      <c r="B1117" s="4">
        <v>4430</v>
      </c>
      <c r="C1117" s="79" t="s">
        <v>39</v>
      </c>
      <c r="D1117" s="25"/>
      <c r="E1117" s="46"/>
      <c r="F1117" s="131">
        <v>2100</v>
      </c>
      <c r="G1117" s="131">
        <v>2100</v>
      </c>
      <c r="H1117" s="131">
        <v>2200</v>
      </c>
      <c r="I1117" s="207">
        <f t="shared" si="60"/>
        <v>1.0476190476190477</v>
      </c>
      <c r="J1117" s="207">
        <f>H1117/$H$1431</f>
        <v>3.284488677548571E-05</v>
      </c>
    </row>
    <row r="1118" spans="1:10" ht="12.75">
      <c r="A1118" s="147">
        <f t="shared" si="58"/>
        <v>1028</v>
      </c>
      <c r="B1118" s="4">
        <v>4440</v>
      </c>
      <c r="C1118" s="79" t="s">
        <v>55</v>
      </c>
      <c r="D1118" s="25"/>
      <c r="E1118" s="46"/>
      <c r="F1118" s="131">
        <v>6800</v>
      </c>
      <c r="G1118" s="131">
        <v>6800</v>
      </c>
      <c r="H1118" s="131">
        <v>7700</v>
      </c>
      <c r="I1118" s="207">
        <f t="shared" si="60"/>
        <v>1.1323529411764706</v>
      </c>
      <c r="J1118" s="207">
        <f>H1118/$H$1431</f>
        <v>0.00011495710371419998</v>
      </c>
    </row>
    <row r="1119" spans="1:10" ht="12.75">
      <c r="A1119" s="147">
        <f t="shared" si="58"/>
        <v>1029</v>
      </c>
      <c r="B1119" s="4">
        <v>4700</v>
      </c>
      <c r="C1119" s="79" t="s">
        <v>295</v>
      </c>
      <c r="D1119" s="25"/>
      <c r="E1119" s="46"/>
      <c r="F1119" s="131"/>
      <c r="G1119" s="131"/>
      <c r="H1119" s="131"/>
      <c r="I1119" s="207"/>
      <c r="J1119" s="207"/>
    </row>
    <row r="1120" spans="1:10" ht="12.75">
      <c r="A1120" s="147">
        <f t="shared" si="58"/>
        <v>1030</v>
      </c>
      <c r="B1120" s="4"/>
      <c r="C1120" s="79" t="s">
        <v>296</v>
      </c>
      <c r="D1120" s="25"/>
      <c r="E1120" s="46"/>
      <c r="F1120" s="131">
        <v>5000</v>
      </c>
      <c r="G1120" s="131">
        <v>5000</v>
      </c>
      <c r="H1120" s="131">
        <v>5000</v>
      </c>
      <c r="I1120" s="207">
        <f t="shared" si="60"/>
        <v>1</v>
      </c>
      <c r="J1120" s="207">
        <f>H1120/$H$1431</f>
        <v>7.464746994428571E-05</v>
      </c>
    </row>
    <row r="1121" spans="1:10" ht="12.75">
      <c r="A1121" s="147">
        <f t="shared" si="58"/>
        <v>1031</v>
      </c>
      <c r="B1121" s="15">
        <v>4740</v>
      </c>
      <c r="C1121" s="117" t="s">
        <v>270</v>
      </c>
      <c r="D1121" s="25"/>
      <c r="E1121" s="46"/>
      <c r="F1121" s="131"/>
      <c r="G1121" s="131"/>
      <c r="H1121" s="131"/>
      <c r="I1121" s="207"/>
      <c r="J1121" s="207"/>
    </row>
    <row r="1122" spans="1:10" ht="12.75">
      <c r="A1122" s="147">
        <f aca="true" t="shared" si="61" ref="A1122:A1184">A1121+1</f>
        <v>1032</v>
      </c>
      <c r="B1122" s="15"/>
      <c r="C1122" s="117" t="s">
        <v>271</v>
      </c>
      <c r="D1122" s="25"/>
      <c r="E1122" s="46"/>
      <c r="F1122" s="131">
        <v>2500</v>
      </c>
      <c r="G1122" s="131">
        <v>2500</v>
      </c>
      <c r="H1122" s="131">
        <v>2500</v>
      </c>
      <c r="I1122" s="207">
        <f t="shared" si="60"/>
        <v>1</v>
      </c>
      <c r="J1122" s="207">
        <f>H1122/$H$1431</f>
        <v>3.7323734972142854E-05</v>
      </c>
    </row>
    <row r="1123" spans="1:10" ht="12.75">
      <c r="A1123" s="147">
        <f t="shared" si="61"/>
        <v>1033</v>
      </c>
      <c r="B1123" s="15">
        <v>4750</v>
      </c>
      <c r="C1123" s="117" t="s">
        <v>272</v>
      </c>
      <c r="D1123" s="25"/>
      <c r="E1123" s="46"/>
      <c r="F1123" s="131"/>
      <c r="G1123" s="131"/>
      <c r="H1123" s="131"/>
      <c r="I1123" s="207"/>
      <c r="J1123" s="207"/>
    </row>
    <row r="1124" spans="1:10" ht="12.75">
      <c r="A1124" s="147">
        <f t="shared" si="61"/>
        <v>1034</v>
      </c>
      <c r="B1124" s="15"/>
      <c r="C1124" s="117" t="s">
        <v>273</v>
      </c>
      <c r="D1124" s="25"/>
      <c r="E1124" s="46"/>
      <c r="F1124" s="131">
        <v>6000</v>
      </c>
      <c r="G1124" s="131">
        <v>6000</v>
      </c>
      <c r="H1124" s="131">
        <v>6000</v>
      </c>
      <c r="I1124" s="207">
        <f t="shared" si="60"/>
        <v>1</v>
      </c>
      <c r="J1124" s="207">
        <f>H1124/$H$1431</f>
        <v>8.957696393314284E-05</v>
      </c>
    </row>
    <row r="1125" spans="1:10" ht="12.75">
      <c r="A1125" s="147">
        <f t="shared" si="61"/>
        <v>1035</v>
      </c>
      <c r="B1125" s="62">
        <v>85228</v>
      </c>
      <c r="C1125" s="68" t="s">
        <v>109</v>
      </c>
      <c r="D1125" s="25"/>
      <c r="E1125" s="46"/>
      <c r="F1125" s="131"/>
      <c r="G1125" s="131"/>
      <c r="H1125" s="131"/>
      <c r="I1125" s="207"/>
      <c r="J1125" s="207"/>
    </row>
    <row r="1126" spans="1:10" ht="12.75">
      <c r="A1126" s="147">
        <f t="shared" si="61"/>
        <v>1036</v>
      </c>
      <c r="B1126" s="62"/>
      <c r="C1126" s="68" t="s">
        <v>110</v>
      </c>
      <c r="D1126" s="25"/>
      <c r="E1126" s="46"/>
      <c r="F1126" s="138">
        <f>+F1127+F1128+F1132+F1138+F1142+F1146+F1147</f>
        <v>308950</v>
      </c>
      <c r="G1126" s="138">
        <f>+G1127+G1128+G1132+G1138+G1142+G1146+G1147</f>
        <v>308950</v>
      </c>
      <c r="H1126" s="138">
        <f>+H1127+H1128+H1132+H1138+H1142+H1146+H1147</f>
        <v>328260</v>
      </c>
      <c r="I1126" s="207">
        <f t="shared" si="60"/>
        <v>1.0625020229810649</v>
      </c>
      <c r="J1126" s="207">
        <f>H1126/$H$1431</f>
        <v>0.004900755696782245</v>
      </c>
    </row>
    <row r="1127" spans="1:10" ht="12.75">
      <c r="A1127" s="147">
        <f t="shared" si="61"/>
        <v>1037</v>
      </c>
      <c r="B1127" s="4">
        <v>3020</v>
      </c>
      <c r="C1127" s="79" t="s">
        <v>218</v>
      </c>
      <c r="D1127" s="25"/>
      <c r="E1127" s="46"/>
      <c r="F1127" s="131">
        <v>3600</v>
      </c>
      <c r="G1127" s="131">
        <v>3600</v>
      </c>
      <c r="H1127" s="131">
        <v>4600</v>
      </c>
      <c r="I1127" s="207">
        <f t="shared" si="60"/>
        <v>1.2777777777777777</v>
      </c>
      <c r="J1127" s="207">
        <f>H1127/$H$1431</f>
        <v>6.867567234874285E-05</v>
      </c>
    </row>
    <row r="1128" spans="1:10" ht="12.75">
      <c r="A1128" s="147">
        <f t="shared" si="61"/>
        <v>1038</v>
      </c>
      <c r="B1128" s="4">
        <v>4010</v>
      </c>
      <c r="C1128" s="79" t="s">
        <v>27</v>
      </c>
      <c r="D1128" s="25"/>
      <c r="E1128" s="46"/>
      <c r="F1128" s="131">
        <f>SUM(F1130:F1131)</f>
        <v>237350</v>
      </c>
      <c r="G1128" s="131">
        <f>SUM(G1130:G1131)</f>
        <v>237350</v>
      </c>
      <c r="H1128" s="131">
        <f>SUM(H1130:H1131)</f>
        <v>247700</v>
      </c>
      <c r="I1128" s="207">
        <f t="shared" si="60"/>
        <v>1.0436064883084053</v>
      </c>
      <c r="J1128" s="207">
        <f>H1128/$H$1431</f>
        <v>0.003698035661039914</v>
      </c>
    </row>
    <row r="1129" spans="1:10" ht="12.75">
      <c r="A1129" s="147">
        <f t="shared" si="61"/>
        <v>1039</v>
      </c>
      <c r="B1129" s="4"/>
      <c r="C1129" s="79" t="s">
        <v>15</v>
      </c>
      <c r="D1129" s="25"/>
      <c r="E1129" s="46"/>
      <c r="F1129" s="131"/>
      <c r="G1129" s="131"/>
      <c r="H1129" s="131"/>
      <c r="I1129" s="207"/>
      <c r="J1129" s="207"/>
    </row>
    <row r="1130" spans="1:10" ht="12.75">
      <c r="A1130" s="147">
        <f t="shared" si="61"/>
        <v>1040</v>
      </c>
      <c r="B1130" s="4"/>
      <c r="C1130" s="79" t="s">
        <v>49</v>
      </c>
      <c r="D1130" s="25"/>
      <c r="E1130" s="46"/>
      <c r="F1130" s="131">
        <v>31780</v>
      </c>
      <c r="G1130" s="131">
        <v>31780</v>
      </c>
      <c r="H1130" s="131">
        <f>34400-2650</f>
        <v>31750</v>
      </c>
      <c r="I1130" s="207">
        <f t="shared" si="60"/>
        <v>0.999056010069226</v>
      </c>
      <c r="J1130" s="207">
        <f>H1130/$H$1431</f>
        <v>0.0004740114341462142</v>
      </c>
    </row>
    <row r="1131" spans="1:10" ht="12.75">
      <c r="A1131" s="147">
        <f t="shared" si="61"/>
        <v>1041</v>
      </c>
      <c r="B1131" s="4"/>
      <c r="C1131" s="79" t="s">
        <v>50</v>
      </c>
      <c r="D1131" s="25"/>
      <c r="E1131" s="46"/>
      <c r="F1131" s="131">
        <v>205570</v>
      </c>
      <c r="G1131" s="131">
        <v>205570</v>
      </c>
      <c r="H1131" s="131">
        <f>207000+6300+2650</f>
        <v>215950</v>
      </c>
      <c r="I1131" s="207">
        <f t="shared" si="60"/>
        <v>1.0504937490879018</v>
      </c>
      <c r="J1131" s="207">
        <f>H1131/$H$1431</f>
        <v>0.0032240242268936994</v>
      </c>
    </row>
    <row r="1132" spans="1:10" ht="12.75">
      <c r="A1132" s="147">
        <f t="shared" si="61"/>
        <v>1042</v>
      </c>
      <c r="B1132" s="4">
        <v>4040</v>
      </c>
      <c r="C1132" s="79" t="s">
        <v>28</v>
      </c>
      <c r="D1132" s="25"/>
      <c r="E1132" s="46"/>
      <c r="F1132" s="131">
        <f>SUM(F1134:F1135)</f>
        <v>16200</v>
      </c>
      <c r="G1132" s="131">
        <f>SUM(G1134:G1135)</f>
        <v>16200</v>
      </c>
      <c r="H1132" s="131">
        <f>SUM(H1134:H1135)</f>
        <v>19500</v>
      </c>
      <c r="I1132" s="207">
        <f t="shared" si="60"/>
        <v>1.2037037037037037</v>
      </c>
      <c r="J1132" s="207">
        <f>H1132/$H$1431</f>
        <v>0.00029112513278271423</v>
      </c>
    </row>
    <row r="1133" spans="1:10" ht="12.75">
      <c r="A1133" s="147">
        <f t="shared" si="61"/>
        <v>1043</v>
      </c>
      <c r="B1133" s="4"/>
      <c r="C1133" s="79" t="s">
        <v>15</v>
      </c>
      <c r="D1133" s="25"/>
      <c r="E1133" s="46"/>
      <c r="F1133" s="131"/>
      <c r="G1133" s="131"/>
      <c r="H1133" s="131"/>
      <c r="I1133" s="207"/>
      <c r="J1133" s="207"/>
    </row>
    <row r="1134" spans="1:10" ht="12.75">
      <c r="A1134" s="147">
        <f t="shared" si="61"/>
        <v>1044</v>
      </c>
      <c r="B1134" s="4"/>
      <c r="C1134" s="79" t="s">
        <v>49</v>
      </c>
      <c r="D1134" s="25"/>
      <c r="E1134" s="46"/>
      <c r="F1134" s="131">
        <v>0</v>
      </c>
      <c r="G1134" s="131">
        <v>0</v>
      </c>
      <c r="H1134" s="131">
        <f>2710-2220</f>
        <v>490</v>
      </c>
      <c r="I1134" s="207"/>
      <c r="J1134" s="207">
        <f>H1134/$H$1431</f>
        <v>7.315452054539999E-06</v>
      </c>
    </row>
    <row r="1135" spans="1:10" ht="12.75">
      <c r="A1135" s="147">
        <f t="shared" si="61"/>
        <v>1045</v>
      </c>
      <c r="B1135" s="4"/>
      <c r="C1135" s="79" t="s">
        <v>50</v>
      </c>
      <c r="D1135" s="25"/>
      <c r="E1135" s="46"/>
      <c r="F1135" s="131">
        <v>16200</v>
      </c>
      <c r="G1135" s="131">
        <v>16200</v>
      </c>
      <c r="H1135" s="131">
        <f>16790+2220</f>
        <v>19010</v>
      </c>
      <c r="I1135" s="207">
        <f t="shared" si="60"/>
        <v>1.1734567901234567</v>
      </c>
      <c r="J1135" s="207">
        <f>H1135/$H$1431</f>
        <v>0.00028380968072817423</v>
      </c>
    </row>
    <row r="1136" spans="1:10" ht="12.75">
      <c r="A1136" s="147"/>
      <c r="B1136" s="4"/>
      <c r="C1136" s="79"/>
      <c r="D1136" s="25"/>
      <c r="E1136" s="46"/>
      <c r="F1136" s="131"/>
      <c r="G1136" s="131"/>
      <c r="H1136" s="131"/>
      <c r="I1136" s="207"/>
      <c r="J1136" s="207"/>
    </row>
    <row r="1137" spans="1:10" ht="12.75">
      <c r="A1137" s="147"/>
      <c r="B1137" s="4"/>
      <c r="C1137" s="79"/>
      <c r="D1137" s="25"/>
      <c r="E1137" s="46"/>
      <c r="F1137" s="131"/>
      <c r="G1137" s="131"/>
      <c r="H1137" s="131"/>
      <c r="I1137" s="207"/>
      <c r="J1137" s="207"/>
    </row>
    <row r="1138" spans="1:10" ht="12.75">
      <c r="A1138" s="147">
        <f>A1135+1</f>
        <v>1046</v>
      </c>
      <c r="B1138" s="4">
        <v>4110</v>
      </c>
      <c r="C1138" s="79" t="s">
        <v>32</v>
      </c>
      <c r="D1138" s="25"/>
      <c r="E1138" s="46"/>
      <c r="F1138" s="131">
        <f>SUM(F1140:F1141)</f>
        <v>39000</v>
      </c>
      <c r="G1138" s="131">
        <f>SUM(G1140:G1141)</f>
        <v>39000</v>
      </c>
      <c r="H1138" s="131">
        <f>SUM(H1140:H1141)</f>
        <v>42100</v>
      </c>
      <c r="I1138" s="207">
        <f t="shared" si="60"/>
        <v>1.0794871794871794</v>
      </c>
      <c r="J1138" s="207">
        <f>H1138/$H$1431</f>
        <v>0.0006285316969308856</v>
      </c>
    </row>
    <row r="1139" spans="1:10" ht="12.75">
      <c r="A1139" s="147">
        <f t="shared" si="61"/>
        <v>1047</v>
      </c>
      <c r="B1139" s="4"/>
      <c r="C1139" s="79" t="s">
        <v>15</v>
      </c>
      <c r="D1139" s="25"/>
      <c r="E1139" s="46"/>
      <c r="F1139" s="131"/>
      <c r="G1139" s="131"/>
      <c r="H1139" s="131"/>
      <c r="I1139" s="207"/>
      <c r="J1139" s="207"/>
    </row>
    <row r="1140" spans="1:10" ht="12.75">
      <c r="A1140" s="147">
        <f t="shared" si="61"/>
        <v>1048</v>
      </c>
      <c r="B1140" s="4"/>
      <c r="C1140" s="79" t="s">
        <v>49</v>
      </c>
      <c r="D1140" s="25"/>
      <c r="E1140" s="46"/>
      <c r="F1140" s="131">
        <v>5441</v>
      </c>
      <c r="G1140" s="131">
        <v>5441</v>
      </c>
      <c r="H1140" s="131">
        <v>5850</v>
      </c>
      <c r="I1140" s="207">
        <f t="shared" si="60"/>
        <v>1.0751700055136924</v>
      </c>
      <c r="J1140" s="207">
        <f>H1140/$H$1431</f>
        <v>8.733753983481427E-05</v>
      </c>
    </row>
    <row r="1141" spans="1:10" ht="12.75">
      <c r="A1141" s="147">
        <f t="shared" si="61"/>
        <v>1049</v>
      </c>
      <c r="B1141" s="4"/>
      <c r="C1141" s="79" t="s">
        <v>50</v>
      </c>
      <c r="D1141" s="25"/>
      <c r="E1141" s="46"/>
      <c r="F1141" s="131">
        <v>33559</v>
      </c>
      <c r="G1141" s="131">
        <v>33559</v>
      </c>
      <c r="H1141" s="131">
        <v>36250</v>
      </c>
      <c r="I1141" s="207">
        <f t="shared" si="60"/>
        <v>1.080187133108853</v>
      </c>
      <c r="J1141" s="207">
        <f>H1141/$H$1431</f>
        <v>0.0005411941570960713</v>
      </c>
    </row>
    <row r="1142" spans="1:10" ht="12.75">
      <c r="A1142" s="147">
        <f t="shared" si="61"/>
        <v>1050</v>
      </c>
      <c r="B1142" s="4">
        <v>4120</v>
      </c>
      <c r="C1142" s="79" t="s">
        <v>33</v>
      </c>
      <c r="D1142" s="25"/>
      <c r="E1142" s="46"/>
      <c r="F1142" s="131">
        <f>SUM(F1144:F1145)</f>
        <v>5850</v>
      </c>
      <c r="G1142" s="131">
        <f>SUM(G1144:G1145)</f>
        <v>5850</v>
      </c>
      <c r="H1142" s="131">
        <f>SUM(H1144:H1145)</f>
        <v>6560</v>
      </c>
      <c r="I1142" s="207">
        <f t="shared" si="60"/>
        <v>1.1213675213675214</v>
      </c>
      <c r="J1142" s="207">
        <f>H1142/$H$1431</f>
        <v>9.793748056690285E-05</v>
      </c>
    </row>
    <row r="1143" spans="1:10" ht="12.75">
      <c r="A1143" s="147">
        <f t="shared" si="61"/>
        <v>1051</v>
      </c>
      <c r="B1143" s="4"/>
      <c r="C1143" s="79" t="s">
        <v>15</v>
      </c>
      <c r="D1143" s="25"/>
      <c r="E1143" s="46"/>
      <c r="F1143" s="131"/>
      <c r="G1143" s="131"/>
      <c r="H1143" s="131"/>
      <c r="I1143" s="207"/>
      <c r="J1143" s="207"/>
    </row>
    <row r="1144" spans="1:10" ht="12.75">
      <c r="A1144" s="147">
        <f t="shared" si="61"/>
        <v>1052</v>
      </c>
      <c r="B1144" s="4"/>
      <c r="C1144" s="79" t="s">
        <v>49</v>
      </c>
      <c r="D1144" s="25"/>
      <c r="E1144" s="46"/>
      <c r="F1144" s="131">
        <v>779</v>
      </c>
      <c r="G1144" s="131">
        <v>779</v>
      </c>
      <c r="H1144" s="131">
        <v>910</v>
      </c>
      <c r="I1144" s="207">
        <f t="shared" si="60"/>
        <v>1.1681643132220796</v>
      </c>
      <c r="J1144" s="207">
        <f>H1144/$H$1431</f>
        <v>1.3585839529859998E-05</v>
      </c>
    </row>
    <row r="1145" spans="1:10" ht="12.75">
      <c r="A1145" s="147">
        <f t="shared" si="61"/>
        <v>1053</v>
      </c>
      <c r="B1145" s="4"/>
      <c r="C1145" s="79" t="s">
        <v>50</v>
      </c>
      <c r="D1145" s="25"/>
      <c r="E1145" s="46"/>
      <c r="F1145" s="131">
        <v>5071</v>
      </c>
      <c r="G1145" s="131">
        <v>5071</v>
      </c>
      <c r="H1145" s="131">
        <v>5650</v>
      </c>
      <c r="I1145" s="207">
        <f t="shared" si="60"/>
        <v>1.1141786629856043</v>
      </c>
      <c r="J1145" s="207">
        <f>H1145/$H$1431</f>
        <v>8.435164103704284E-05</v>
      </c>
    </row>
    <row r="1146" spans="1:10" ht="12.75">
      <c r="A1146" s="147">
        <f t="shared" si="61"/>
        <v>1054</v>
      </c>
      <c r="B1146" s="4">
        <v>4430</v>
      </c>
      <c r="C1146" s="79" t="s">
        <v>39</v>
      </c>
      <c r="D1146" s="25"/>
      <c r="E1146" s="46"/>
      <c r="F1146" s="131">
        <v>500</v>
      </c>
      <c r="G1146" s="131">
        <v>500</v>
      </c>
      <c r="H1146" s="131">
        <v>600</v>
      </c>
      <c r="I1146" s="207">
        <f t="shared" si="60"/>
        <v>1.2</v>
      </c>
      <c r="J1146" s="207">
        <f>H1146/$H$1431</f>
        <v>8.957696393314284E-06</v>
      </c>
    </row>
    <row r="1147" spans="1:10" ht="12.75">
      <c r="A1147" s="147">
        <f t="shared" si="61"/>
        <v>1055</v>
      </c>
      <c r="B1147" s="4">
        <v>4440</v>
      </c>
      <c r="C1147" s="79" t="s">
        <v>47</v>
      </c>
      <c r="D1147" s="25"/>
      <c r="E1147" s="46"/>
      <c r="F1147" s="131">
        <v>6450</v>
      </c>
      <c r="G1147" s="131">
        <v>6450</v>
      </c>
      <c r="H1147" s="131">
        <v>7200</v>
      </c>
      <c r="I1147" s="207">
        <f t="shared" si="60"/>
        <v>1.1162790697674418</v>
      </c>
      <c r="J1147" s="207">
        <f>H1147/$H$1431</f>
        <v>0.00010749235671977142</v>
      </c>
    </row>
    <row r="1148" spans="1:10" ht="12.75">
      <c r="A1148" s="147">
        <f t="shared" si="61"/>
        <v>1056</v>
      </c>
      <c r="B1148" s="62">
        <v>85295</v>
      </c>
      <c r="C1148" s="68" t="s">
        <v>25</v>
      </c>
      <c r="D1148" s="25"/>
      <c r="E1148" s="46"/>
      <c r="F1148" s="138">
        <f>F1150+F1151</f>
        <v>183600</v>
      </c>
      <c r="G1148" s="138">
        <f>G1150+G1151</f>
        <v>183600</v>
      </c>
      <c r="H1148" s="138">
        <f>H1150+H1151</f>
        <v>162300</v>
      </c>
      <c r="I1148" s="207">
        <f t="shared" si="60"/>
        <v>0.8839869281045751</v>
      </c>
      <c r="J1148" s="207">
        <f>H1148/$H$1431</f>
        <v>0.002423056874391514</v>
      </c>
    </row>
    <row r="1149" spans="1:10" s="190" customFormat="1" ht="12.75">
      <c r="A1149" s="147">
        <f t="shared" si="61"/>
        <v>1057</v>
      </c>
      <c r="B1149" s="201">
        <v>2820</v>
      </c>
      <c r="C1149" s="40" t="s">
        <v>243</v>
      </c>
      <c r="D1149" s="137"/>
      <c r="E1149" s="205"/>
      <c r="F1149" s="173"/>
      <c r="G1149" s="173"/>
      <c r="H1149" s="173"/>
      <c r="I1149" s="207"/>
      <c r="J1149" s="207"/>
    </row>
    <row r="1150" spans="1:10" s="190" customFormat="1" ht="12.75">
      <c r="A1150" s="147">
        <f t="shared" si="61"/>
        <v>1058</v>
      </c>
      <c r="B1150" s="175"/>
      <c r="C1150" s="40" t="s">
        <v>199</v>
      </c>
      <c r="D1150" s="137"/>
      <c r="E1150" s="205"/>
      <c r="F1150" s="173">
        <v>12000</v>
      </c>
      <c r="G1150" s="173">
        <v>12000</v>
      </c>
      <c r="H1150" s="173">
        <v>21300</v>
      </c>
      <c r="I1150" s="207">
        <f t="shared" si="60"/>
        <v>1.775</v>
      </c>
      <c r="J1150" s="207">
        <f>H1150/$H$1431</f>
        <v>0.0003179982219626571</v>
      </c>
    </row>
    <row r="1151" spans="1:10" ht="12.75">
      <c r="A1151" s="147">
        <f t="shared" si="61"/>
        <v>1059</v>
      </c>
      <c r="B1151" s="4">
        <v>3110</v>
      </c>
      <c r="C1151" s="79" t="s">
        <v>48</v>
      </c>
      <c r="D1151" s="25"/>
      <c r="E1151" s="46"/>
      <c r="F1151" s="131">
        <f>SUM(F1153:F1155)</f>
        <v>171600</v>
      </c>
      <c r="G1151" s="131">
        <f>SUM(G1153:G1155)</f>
        <v>171600</v>
      </c>
      <c r="H1151" s="131">
        <f>SUM(H1153:H1155)</f>
        <v>141000</v>
      </c>
      <c r="I1151" s="207">
        <f t="shared" si="60"/>
        <v>0.8216783216783217</v>
      </c>
      <c r="J1151" s="207">
        <f>H1151/$H$1431</f>
        <v>0.002105058652428857</v>
      </c>
    </row>
    <row r="1152" spans="1:10" ht="12.75">
      <c r="A1152" s="147">
        <f t="shared" si="61"/>
        <v>1060</v>
      </c>
      <c r="B1152" s="4"/>
      <c r="C1152" s="79" t="s">
        <v>15</v>
      </c>
      <c r="D1152" s="25"/>
      <c r="E1152" s="46"/>
      <c r="F1152" s="131"/>
      <c r="G1152" s="131"/>
      <c r="H1152" s="131"/>
      <c r="I1152" s="207"/>
      <c r="J1152" s="207"/>
    </row>
    <row r="1153" spans="1:10" ht="12.75">
      <c r="A1153" s="147">
        <f t="shared" si="61"/>
        <v>1061</v>
      </c>
      <c r="B1153" s="4"/>
      <c r="C1153" s="79" t="s">
        <v>281</v>
      </c>
      <c r="D1153" s="25"/>
      <c r="E1153" s="46"/>
      <c r="F1153" s="131">
        <v>72400</v>
      </c>
      <c r="G1153" s="131">
        <v>72400</v>
      </c>
      <c r="H1153" s="131">
        <v>51000</v>
      </c>
      <c r="I1153" s="207">
        <f t="shared" si="60"/>
        <v>0.7044198895027625</v>
      </c>
      <c r="J1153" s="207">
        <f>H1153/$H$1431</f>
        <v>0.0007614041934317141</v>
      </c>
    </row>
    <row r="1154" spans="1:10" ht="12.75">
      <c r="A1154" s="147">
        <f t="shared" si="61"/>
        <v>1062</v>
      </c>
      <c r="B1154" s="4"/>
      <c r="C1154" s="79" t="s">
        <v>282</v>
      </c>
      <c r="D1154" s="25"/>
      <c r="E1154" s="46"/>
      <c r="F1154" s="131">
        <v>80000</v>
      </c>
      <c r="G1154" s="131">
        <v>80000</v>
      </c>
      <c r="H1154" s="131">
        <v>80000</v>
      </c>
      <c r="I1154" s="207">
        <f t="shared" si="60"/>
        <v>1</v>
      </c>
      <c r="J1154" s="207">
        <f>H1154/$H$1431</f>
        <v>0.0011943595191085713</v>
      </c>
    </row>
    <row r="1155" spans="1:10" ht="12.75">
      <c r="A1155" s="147">
        <f t="shared" si="61"/>
        <v>1063</v>
      </c>
      <c r="B1155" s="4"/>
      <c r="C1155" s="79" t="s">
        <v>283</v>
      </c>
      <c r="D1155" s="25"/>
      <c r="E1155" s="46"/>
      <c r="F1155" s="131">
        <v>19200</v>
      </c>
      <c r="G1155" s="131">
        <v>19200</v>
      </c>
      <c r="H1155" s="131">
        <v>10000</v>
      </c>
      <c r="I1155" s="207">
        <f t="shared" si="60"/>
        <v>0.5208333333333334</v>
      </c>
      <c r="J1155" s="207">
        <f>H1155/$H$1431</f>
        <v>0.00014929493988857142</v>
      </c>
    </row>
    <row r="1156" spans="1:10" s="195" customFormat="1" ht="12.75">
      <c r="A1156" s="147">
        <f t="shared" si="61"/>
        <v>1064</v>
      </c>
      <c r="B1156" s="196">
        <v>853</v>
      </c>
      <c r="C1156" s="192" t="s">
        <v>520</v>
      </c>
      <c r="D1156" s="172"/>
      <c r="E1156" s="193"/>
      <c r="F1156" s="194"/>
      <c r="G1156" s="194"/>
      <c r="H1156" s="194"/>
      <c r="I1156" s="207"/>
      <c r="J1156" s="207"/>
    </row>
    <row r="1157" spans="1:10" s="195" customFormat="1" ht="12.75">
      <c r="A1157" s="147">
        <f t="shared" si="61"/>
        <v>1065</v>
      </c>
      <c r="B1157" s="120"/>
      <c r="C1157" s="192" t="s">
        <v>519</v>
      </c>
      <c r="D1157" s="172"/>
      <c r="E1157" s="193"/>
      <c r="F1157" s="194">
        <f>F1158</f>
        <v>69047</v>
      </c>
      <c r="G1157" s="194">
        <f>G1158</f>
        <v>69047</v>
      </c>
      <c r="H1157" s="194">
        <f>H1158</f>
        <v>0</v>
      </c>
      <c r="I1157" s="207">
        <f t="shared" si="60"/>
        <v>0</v>
      </c>
      <c r="J1157" s="222">
        <f>H1157/$H$1431</f>
        <v>0</v>
      </c>
    </row>
    <row r="1158" spans="1:10" s="166" customFormat="1" ht="12.75">
      <c r="A1158" s="147">
        <f t="shared" si="61"/>
        <v>1066</v>
      </c>
      <c r="B1158" s="180">
        <v>85395</v>
      </c>
      <c r="C1158" s="68" t="s">
        <v>25</v>
      </c>
      <c r="D1158" s="146"/>
      <c r="E1158" s="150"/>
      <c r="F1158" s="151">
        <f>SUM(F1159:F1178)</f>
        <v>69047</v>
      </c>
      <c r="G1158" s="151">
        <f>SUM(G1159:G1178)</f>
        <v>69047</v>
      </c>
      <c r="H1158" s="151">
        <f>SUM(H1159:H1178)</f>
        <v>0</v>
      </c>
      <c r="I1158" s="207">
        <f t="shared" si="60"/>
        <v>0</v>
      </c>
      <c r="J1158" s="207">
        <f>H1158/$H$1431</f>
        <v>0</v>
      </c>
    </row>
    <row r="1159" spans="1:10" s="190" customFormat="1" ht="12.75">
      <c r="A1159" s="147">
        <f t="shared" si="61"/>
        <v>1067</v>
      </c>
      <c r="B1159" s="206">
        <v>4018</v>
      </c>
      <c r="C1159" s="40" t="s">
        <v>27</v>
      </c>
      <c r="D1159" s="137"/>
      <c r="E1159" s="205"/>
      <c r="F1159" s="173">
        <v>14061.42</v>
      </c>
      <c r="G1159" s="173">
        <v>14061.42</v>
      </c>
      <c r="H1159" s="173">
        <v>0</v>
      </c>
      <c r="I1159" s="207">
        <f t="shared" si="60"/>
        <v>0</v>
      </c>
      <c r="J1159" s="207">
        <f>H1159/$H$1431</f>
        <v>0</v>
      </c>
    </row>
    <row r="1160" spans="1:10" s="190" customFormat="1" ht="12.75">
      <c r="A1160" s="147">
        <f t="shared" si="61"/>
        <v>1068</v>
      </c>
      <c r="B1160" s="206">
        <v>4019</v>
      </c>
      <c r="C1160" s="40" t="s">
        <v>27</v>
      </c>
      <c r="D1160" s="137"/>
      <c r="E1160" s="205"/>
      <c r="F1160" s="173">
        <v>827.84</v>
      </c>
      <c r="G1160" s="173">
        <v>827.84</v>
      </c>
      <c r="H1160" s="173">
        <v>0</v>
      </c>
      <c r="I1160" s="207">
        <f t="shared" si="60"/>
        <v>0</v>
      </c>
      <c r="J1160" s="207">
        <f>H1160/$H$1431</f>
        <v>0</v>
      </c>
    </row>
    <row r="1161" spans="1:10" s="190" customFormat="1" ht="12.75">
      <c r="A1161" s="147">
        <f t="shared" si="61"/>
        <v>1069</v>
      </c>
      <c r="B1161" s="206">
        <v>4118</v>
      </c>
      <c r="C1161" s="40" t="s">
        <v>32</v>
      </c>
      <c r="D1161" s="137"/>
      <c r="E1161" s="205"/>
      <c r="F1161" s="173">
        <v>2552.78</v>
      </c>
      <c r="G1161" s="173">
        <v>2552.78</v>
      </c>
      <c r="H1161" s="173">
        <v>0</v>
      </c>
      <c r="I1161" s="207">
        <f t="shared" si="60"/>
        <v>0</v>
      </c>
      <c r="J1161" s="207">
        <f aca="true" t="shared" si="62" ref="J1161:J1168">H1161/$H$1431</f>
        <v>0</v>
      </c>
    </row>
    <row r="1162" spans="1:10" s="190" customFormat="1" ht="12.75">
      <c r="A1162" s="147">
        <f t="shared" si="61"/>
        <v>1070</v>
      </c>
      <c r="B1162" s="206">
        <v>4119</v>
      </c>
      <c r="C1162" s="40" t="s">
        <v>32</v>
      </c>
      <c r="D1162" s="137"/>
      <c r="E1162" s="205"/>
      <c r="F1162" s="173">
        <v>150.29</v>
      </c>
      <c r="G1162" s="173">
        <v>150.29</v>
      </c>
      <c r="H1162" s="173">
        <v>0</v>
      </c>
      <c r="I1162" s="207">
        <f t="shared" si="60"/>
        <v>0</v>
      </c>
      <c r="J1162" s="207">
        <f t="shared" si="62"/>
        <v>0</v>
      </c>
    </row>
    <row r="1163" spans="1:10" s="190" customFormat="1" ht="12.75">
      <c r="A1163" s="147">
        <f t="shared" si="61"/>
        <v>1071</v>
      </c>
      <c r="B1163" s="206">
        <v>4128</v>
      </c>
      <c r="C1163" s="40" t="s">
        <v>33</v>
      </c>
      <c r="D1163" s="137"/>
      <c r="E1163" s="205"/>
      <c r="F1163" s="173">
        <v>437.14</v>
      </c>
      <c r="G1163" s="173">
        <v>437.14</v>
      </c>
      <c r="H1163" s="173">
        <v>0</v>
      </c>
      <c r="I1163" s="207">
        <f t="shared" si="60"/>
        <v>0</v>
      </c>
      <c r="J1163" s="207">
        <f t="shared" si="62"/>
        <v>0</v>
      </c>
    </row>
    <row r="1164" spans="1:10" s="190" customFormat="1" ht="12.75">
      <c r="A1164" s="147">
        <f t="shared" si="61"/>
        <v>1072</v>
      </c>
      <c r="B1164" s="206">
        <v>4129</v>
      </c>
      <c r="C1164" s="40" t="s">
        <v>33</v>
      </c>
      <c r="D1164" s="137"/>
      <c r="E1164" s="205"/>
      <c r="F1164" s="173">
        <v>26.63</v>
      </c>
      <c r="G1164" s="173">
        <v>26.63</v>
      </c>
      <c r="H1164" s="173">
        <v>0</v>
      </c>
      <c r="I1164" s="207">
        <f t="shared" si="60"/>
        <v>0</v>
      </c>
      <c r="J1164" s="207">
        <f t="shared" si="62"/>
        <v>0</v>
      </c>
    </row>
    <row r="1165" spans="1:10" s="190" customFormat="1" ht="12.75">
      <c r="A1165" s="147">
        <f t="shared" si="61"/>
        <v>1073</v>
      </c>
      <c r="B1165" s="206">
        <v>4178</v>
      </c>
      <c r="C1165" s="40" t="s">
        <v>211</v>
      </c>
      <c r="D1165" s="137"/>
      <c r="E1165" s="205"/>
      <c r="F1165" s="173">
        <v>3815.38</v>
      </c>
      <c r="G1165" s="173">
        <v>3815.38</v>
      </c>
      <c r="H1165" s="173">
        <v>0</v>
      </c>
      <c r="I1165" s="207">
        <f t="shared" si="60"/>
        <v>0</v>
      </c>
      <c r="J1165" s="207">
        <f t="shared" si="62"/>
        <v>0</v>
      </c>
    </row>
    <row r="1166" spans="1:10" s="190" customFormat="1" ht="12.75">
      <c r="A1166" s="147">
        <f t="shared" si="61"/>
        <v>1074</v>
      </c>
      <c r="B1166" s="206">
        <v>4179</v>
      </c>
      <c r="C1166" s="40" t="s">
        <v>211</v>
      </c>
      <c r="D1166" s="137"/>
      <c r="E1166" s="205"/>
      <c r="F1166" s="173">
        <v>224.62</v>
      </c>
      <c r="G1166" s="173">
        <v>224.62</v>
      </c>
      <c r="H1166" s="173">
        <v>0</v>
      </c>
      <c r="I1166" s="207">
        <f t="shared" si="60"/>
        <v>0</v>
      </c>
      <c r="J1166" s="207">
        <f t="shared" si="62"/>
        <v>0</v>
      </c>
    </row>
    <row r="1167" spans="1:10" s="190" customFormat="1" ht="12.75">
      <c r="A1167" s="147">
        <f t="shared" si="61"/>
        <v>1075</v>
      </c>
      <c r="B1167" s="206">
        <v>4218</v>
      </c>
      <c r="C1167" s="79" t="s">
        <v>132</v>
      </c>
      <c r="D1167" s="137"/>
      <c r="E1167" s="205"/>
      <c r="F1167" s="173">
        <v>5276.3</v>
      </c>
      <c r="G1167" s="173">
        <v>5276.3</v>
      </c>
      <c r="H1167" s="173">
        <v>0</v>
      </c>
      <c r="I1167" s="207">
        <f t="shared" si="60"/>
        <v>0</v>
      </c>
      <c r="J1167" s="207">
        <f t="shared" si="62"/>
        <v>0</v>
      </c>
    </row>
    <row r="1168" spans="1:10" ht="12.75">
      <c r="A1168" s="147">
        <f t="shared" si="61"/>
        <v>1076</v>
      </c>
      <c r="B1168" s="4">
        <v>4219</v>
      </c>
      <c r="C1168" s="79" t="s">
        <v>132</v>
      </c>
      <c r="D1168" s="25"/>
      <c r="E1168" s="46"/>
      <c r="F1168" s="131">
        <v>310.6</v>
      </c>
      <c r="G1168" s="131">
        <v>310.6</v>
      </c>
      <c r="H1168" s="131">
        <v>0</v>
      </c>
      <c r="I1168" s="207">
        <f t="shared" si="60"/>
        <v>0</v>
      </c>
      <c r="J1168" s="207">
        <f t="shared" si="62"/>
        <v>0</v>
      </c>
    </row>
    <row r="1169" spans="1:10" ht="12.75">
      <c r="A1169" s="147">
        <f t="shared" si="61"/>
        <v>1077</v>
      </c>
      <c r="B1169" s="4">
        <v>4308</v>
      </c>
      <c r="C1169" s="79" t="s">
        <v>130</v>
      </c>
      <c r="D1169" s="25"/>
      <c r="E1169" s="46"/>
      <c r="F1169" s="131">
        <v>38333.2</v>
      </c>
      <c r="G1169" s="131">
        <v>38333.2</v>
      </c>
      <c r="H1169" s="131">
        <v>0</v>
      </c>
      <c r="I1169" s="207">
        <f t="shared" si="60"/>
        <v>0</v>
      </c>
      <c r="J1169" s="207">
        <f>H1169/$H$1431</f>
        <v>0</v>
      </c>
    </row>
    <row r="1170" spans="1:10" ht="12.75">
      <c r="A1170" s="147">
        <f t="shared" si="61"/>
        <v>1078</v>
      </c>
      <c r="B1170" s="4">
        <v>4309</v>
      </c>
      <c r="C1170" s="79" t="s">
        <v>130</v>
      </c>
      <c r="D1170" s="25"/>
      <c r="E1170" s="46"/>
      <c r="F1170" s="131">
        <v>2256.8</v>
      </c>
      <c r="G1170" s="131">
        <v>2256.8</v>
      </c>
      <c r="H1170" s="131">
        <v>0</v>
      </c>
      <c r="I1170" s="207">
        <f aca="true" t="shared" si="63" ref="I1170:I1231">H1170/G1170</f>
        <v>0</v>
      </c>
      <c r="J1170" s="207">
        <f>H1170/$H$1431</f>
        <v>0</v>
      </c>
    </row>
    <row r="1171" spans="1:10" ht="12.75">
      <c r="A1171" s="147">
        <f t="shared" si="61"/>
        <v>1079</v>
      </c>
      <c r="B1171" s="4">
        <v>4748</v>
      </c>
      <c r="C1171" s="117" t="s">
        <v>270</v>
      </c>
      <c r="D1171" s="25"/>
      <c r="E1171" s="46"/>
      <c r="F1171" s="131"/>
      <c r="G1171" s="131"/>
      <c r="H1171" s="131"/>
      <c r="I1171" s="207"/>
      <c r="J1171" s="207"/>
    </row>
    <row r="1172" spans="1:10" ht="12.75">
      <c r="A1172" s="147">
        <f t="shared" si="61"/>
        <v>1080</v>
      </c>
      <c r="B1172" s="4"/>
      <c r="C1172" s="117" t="s">
        <v>271</v>
      </c>
      <c r="D1172" s="25"/>
      <c r="E1172" s="46"/>
      <c r="F1172" s="131">
        <v>70.83</v>
      </c>
      <c r="G1172" s="131">
        <v>70.83</v>
      </c>
      <c r="H1172" s="131">
        <v>0</v>
      </c>
      <c r="I1172" s="207">
        <f t="shared" si="63"/>
        <v>0</v>
      </c>
      <c r="J1172" s="207">
        <f>H1172/$H$1431</f>
        <v>0</v>
      </c>
    </row>
    <row r="1173" spans="1:10" ht="12.75">
      <c r="A1173" s="147">
        <f t="shared" si="61"/>
        <v>1081</v>
      </c>
      <c r="B1173" s="15">
        <v>4749</v>
      </c>
      <c r="C1173" s="117" t="s">
        <v>270</v>
      </c>
      <c r="D1173" s="25"/>
      <c r="E1173" s="46"/>
      <c r="F1173" s="131"/>
      <c r="G1173" s="131"/>
      <c r="H1173" s="131"/>
      <c r="I1173" s="207"/>
      <c r="J1173" s="207"/>
    </row>
    <row r="1174" spans="1:10" ht="12.75">
      <c r="A1174" s="147">
        <f t="shared" si="61"/>
        <v>1082</v>
      </c>
      <c r="B1174" s="15"/>
      <c r="C1174" s="117" t="s">
        <v>271</v>
      </c>
      <c r="D1174" s="25"/>
      <c r="E1174" s="46"/>
      <c r="F1174" s="131">
        <v>4.17</v>
      </c>
      <c r="G1174" s="131">
        <v>4.17</v>
      </c>
      <c r="H1174" s="131">
        <v>0</v>
      </c>
      <c r="I1174" s="207">
        <f t="shared" si="63"/>
        <v>0</v>
      </c>
      <c r="J1174" s="207">
        <f>H1174/$H$1431</f>
        <v>0</v>
      </c>
    </row>
    <row r="1175" spans="1:10" ht="12.75">
      <c r="A1175" s="147">
        <f t="shared" si="61"/>
        <v>1083</v>
      </c>
      <c r="B1175" s="15">
        <v>4758</v>
      </c>
      <c r="C1175" s="117" t="s">
        <v>272</v>
      </c>
      <c r="D1175" s="25"/>
      <c r="E1175" s="46"/>
      <c r="F1175" s="131"/>
      <c r="G1175" s="131"/>
      <c r="H1175" s="131"/>
      <c r="I1175" s="207"/>
      <c r="J1175" s="207"/>
    </row>
    <row r="1176" spans="1:10" ht="12.75">
      <c r="A1176" s="147">
        <f t="shared" si="61"/>
        <v>1084</v>
      </c>
      <c r="B1176" s="15"/>
      <c r="C1176" s="117" t="s">
        <v>273</v>
      </c>
      <c r="D1176" s="25"/>
      <c r="E1176" s="46"/>
      <c r="F1176" s="131">
        <v>660.14</v>
      </c>
      <c r="G1176" s="131">
        <v>660.14</v>
      </c>
      <c r="H1176" s="131">
        <v>0</v>
      </c>
      <c r="I1176" s="207">
        <f t="shared" si="63"/>
        <v>0</v>
      </c>
      <c r="J1176" s="207">
        <f>H1176/$H$1431</f>
        <v>0</v>
      </c>
    </row>
    <row r="1177" spans="1:10" ht="12.75">
      <c r="A1177" s="147">
        <f t="shared" si="61"/>
        <v>1085</v>
      </c>
      <c r="B1177" s="15">
        <v>4579</v>
      </c>
      <c r="C1177" s="117" t="s">
        <v>272</v>
      </c>
      <c r="D1177" s="25"/>
      <c r="E1177" s="46"/>
      <c r="F1177" s="131"/>
      <c r="G1177" s="131"/>
      <c r="H1177" s="131"/>
      <c r="I1177" s="207"/>
      <c r="J1177" s="207"/>
    </row>
    <row r="1178" spans="1:10" ht="12.75">
      <c r="A1178" s="147">
        <f t="shared" si="61"/>
        <v>1086</v>
      </c>
      <c r="B1178" s="15"/>
      <c r="C1178" s="117" t="s">
        <v>273</v>
      </c>
      <c r="D1178" s="25"/>
      <c r="E1178" s="46"/>
      <c r="F1178" s="131">
        <v>38.86</v>
      </c>
      <c r="G1178" s="131">
        <v>38.86</v>
      </c>
      <c r="H1178" s="131">
        <v>0</v>
      </c>
      <c r="I1178" s="207">
        <f t="shared" si="63"/>
        <v>0</v>
      </c>
      <c r="J1178" s="207">
        <f>H1178/$H$1431</f>
        <v>0</v>
      </c>
    </row>
    <row r="1179" spans="1:10" s="70" customFormat="1" ht="12.75" customHeight="1">
      <c r="A1179" s="147">
        <f t="shared" si="61"/>
        <v>1087</v>
      </c>
      <c r="B1179" s="56">
        <v>854</v>
      </c>
      <c r="C1179" s="78" t="s">
        <v>111</v>
      </c>
      <c r="D1179" s="58"/>
      <c r="E1179" s="59" t="e">
        <f>E1180+#REF!+E1204+#REF!+#REF!</f>
        <v>#REF!</v>
      </c>
      <c r="F1179" s="58">
        <f>F1180+F1204+F1224+F1230+F1238</f>
        <v>317672.08999999997</v>
      </c>
      <c r="G1179" s="58">
        <f>G1180+G1204+G1224+G1230+G1238</f>
        <v>317672.08999999997</v>
      </c>
      <c r="H1179" s="58">
        <f>H1180+H1204+H1224+H1230+H1238</f>
        <v>266016</v>
      </c>
      <c r="I1179" s="207">
        <f t="shared" si="63"/>
        <v>0.8373917897540197</v>
      </c>
      <c r="J1179" s="207">
        <f>H1179/$H$1431</f>
        <v>0.003971484272939821</v>
      </c>
    </row>
    <row r="1180" spans="1:10" ht="12.75">
      <c r="A1180" s="147">
        <f t="shared" si="61"/>
        <v>1088</v>
      </c>
      <c r="B1180" s="10">
        <v>85401</v>
      </c>
      <c r="C1180" s="68" t="s">
        <v>112</v>
      </c>
      <c r="D1180" s="25"/>
      <c r="E1180" s="44">
        <f>E1181+E1185+E1189+E1193+E1197</f>
        <v>120000</v>
      </c>
      <c r="F1180" s="26">
        <f>+F1181+F1185+F1189+F1193+F1197</f>
        <v>200275</v>
      </c>
      <c r="G1180" s="26">
        <f>+G1181+G1185+G1189+G1193+G1197</f>
        <v>200275</v>
      </c>
      <c r="H1180" s="26">
        <f>+H1181+H1185+H1189+H1193+H1197</f>
        <v>212300</v>
      </c>
      <c r="I1180" s="207">
        <f t="shared" si="63"/>
        <v>1.0600424416427412</v>
      </c>
      <c r="J1180" s="207">
        <f>H1180/$H$1431</f>
        <v>0.003169531573834371</v>
      </c>
    </row>
    <row r="1181" spans="1:10" ht="12.75">
      <c r="A1181" s="147">
        <f t="shared" si="61"/>
        <v>1089</v>
      </c>
      <c r="B1181" s="4">
        <v>4010</v>
      </c>
      <c r="C1181" s="79" t="s">
        <v>27</v>
      </c>
      <c r="D1181" s="25"/>
      <c r="E1181" s="47">
        <f>SUM(E1183:E1184)</f>
        <v>88000</v>
      </c>
      <c r="F1181" s="23">
        <f>SUM(F1183:F1184)</f>
        <v>151660</v>
      </c>
      <c r="G1181" s="23">
        <f>SUM(G1183:G1184)</f>
        <v>151660</v>
      </c>
      <c r="H1181" s="23">
        <f>SUM(H1183:H1184)</f>
        <v>160300</v>
      </c>
      <c r="I1181" s="207">
        <f t="shared" si="63"/>
        <v>1.056969537122511</v>
      </c>
      <c r="J1181" s="207">
        <f>H1181/$H$1431</f>
        <v>0.0023931978864137997</v>
      </c>
    </row>
    <row r="1182" spans="1:10" ht="12.75">
      <c r="A1182" s="147">
        <f t="shared" si="61"/>
        <v>1090</v>
      </c>
      <c r="B1182" s="4"/>
      <c r="C1182" s="79" t="s">
        <v>15</v>
      </c>
      <c r="D1182" s="25"/>
      <c r="E1182" s="46"/>
      <c r="F1182" s="131"/>
      <c r="G1182" s="131"/>
      <c r="H1182" s="131"/>
      <c r="I1182" s="207"/>
      <c r="J1182" s="207"/>
    </row>
    <row r="1183" spans="1:10" ht="12.75">
      <c r="A1183" s="147">
        <f t="shared" si="61"/>
        <v>1091</v>
      </c>
      <c r="B1183" s="4"/>
      <c r="C1183" s="79" t="s">
        <v>143</v>
      </c>
      <c r="D1183" s="25"/>
      <c r="E1183" s="46">
        <f>42800-4800</f>
        <v>38000</v>
      </c>
      <c r="F1183" s="131">
        <v>53060</v>
      </c>
      <c r="G1183" s="131">
        <v>53060</v>
      </c>
      <c r="H1183" s="131">
        <v>57600</v>
      </c>
      <c r="I1183" s="207">
        <f t="shared" si="63"/>
        <v>1.0855635130041463</v>
      </c>
      <c r="J1183" s="207">
        <f>H1183/$H$1431</f>
        <v>0.0008599388537581713</v>
      </c>
    </row>
    <row r="1184" spans="1:10" ht="12.75">
      <c r="A1184" s="147">
        <f t="shared" si="61"/>
        <v>1092</v>
      </c>
      <c r="B1184" s="4"/>
      <c r="C1184" s="79" t="s">
        <v>44</v>
      </c>
      <c r="D1184" s="25"/>
      <c r="E1184" s="46">
        <v>50000</v>
      </c>
      <c r="F1184" s="131">
        <v>98600</v>
      </c>
      <c r="G1184" s="131">
        <v>98600</v>
      </c>
      <c r="H1184" s="131">
        <v>102700</v>
      </c>
      <c r="I1184" s="207">
        <f t="shared" si="63"/>
        <v>1.04158215010142</v>
      </c>
      <c r="J1184" s="207">
        <f>H1184/$H$1431</f>
        <v>0.0015332590326556283</v>
      </c>
    </row>
    <row r="1185" spans="1:10" ht="12.75">
      <c r="A1185" s="147">
        <f aca="true" t="shared" si="64" ref="A1185:A1247">A1184+1</f>
        <v>1093</v>
      </c>
      <c r="B1185" s="4">
        <v>4040</v>
      </c>
      <c r="C1185" s="79" t="s">
        <v>28</v>
      </c>
      <c r="D1185" s="25"/>
      <c r="E1185" s="47">
        <f>SUM(E1187:E1188)</f>
        <v>6900</v>
      </c>
      <c r="F1185" s="23">
        <f>SUM(F1187:F1188)</f>
        <v>10140</v>
      </c>
      <c r="G1185" s="23">
        <f>SUM(G1187:G1188)</f>
        <v>10140</v>
      </c>
      <c r="H1185" s="23">
        <f>SUM(H1187:H1188)</f>
        <v>12100</v>
      </c>
      <c r="I1185" s="207">
        <f t="shared" si="63"/>
        <v>1.193293885601578</v>
      </c>
      <c r="J1185" s="207">
        <f>H1185/$H$1431</f>
        <v>0.0001806468772651714</v>
      </c>
    </row>
    <row r="1186" spans="1:10" ht="12.75">
      <c r="A1186" s="147">
        <f t="shared" si="64"/>
        <v>1094</v>
      </c>
      <c r="B1186" s="4"/>
      <c r="C1186" s="79" t="s">
        <v>15</v>
      </c>
      <c r="D1186" s="25"/>
      <c r="E1186" s="46"/>
      <c r="F1186" s="131"/>
      <c r="G1186" s="23"/>
      <c r="H1186" s="131"/>
      <c r="I1186" s="207"/>
      <c r="J1186" s="207"/>
    </row>
    <row r="1187" spans="1:10" ht="12.75">
      <c r="A1187" s="147">
        <f t="shared" si="64"/>
        <v>1095</v>
      </c>
      <c r="B1187" s="4"/>
      <c r="C1187" s="79" t="s">
        <v>143</v>
      </c>
      <c r="D1187" s="25"/>
      <c r="E1187" s="46">
        <v>3300</v>
      </c>
      <c r="F1187" s="131">
        <v>3440</v>
      </c>
      <c r="G1187" s="131">
        <v>3440</v>
      </c>
      <c r="H1187" s="131">
        <v>3700</v>
      </c>
      <c r="I1187" s="207">
        <f t="shared" si="63"/>
        <v>1.0755813953488371</v>
      </c>
      <c r="J1187" s="207">
        <f>H1187/$H$1431</f>
        <v>5.523912775877142E-05</v>
      </c>
    </row>
    <row r="1188" spans="1:10" ht="12.75">
      <c r="A1188" s="147">
        <f t="shared" si="64"/>
        <v>1096</v>
      </c>
      <c r="B1188" s="4"/>
      <c r="C1188" s="79" t="s">
        <v>44</v>
      </c>
      <c r="D1188" s="25"/>
      <c r="E1188" s="46">
        <v>3600</v>
      </c>
      <c r="F1188" s="131">
        <v>6700</v>
      </c>
      <c r="G1188" s="131">
        <v>6700</v>
      </c>
      <c r="H1188" s="131">
        <v>8400</v>
      </c>
      <c r="I1188" s="207">
        <f t="shared" si="63"/>
        <v>1.2537313432835822</v>
      </c>
      <c r="J1188" s="207">
        <f>H1188/$H$1431</f>
        <v>0.0001254077495064</v>
      </c>
    </row>
    <row r="1189" spans="1:10" ht="12.75">
      <c r="A1189" s="147">
        <f t="shared" si="64"/>
        <v>1097</v>
      </c>
      <c r="B1189" s="4">
        <v>4110</v>
      </c>
      <c r="C1189" s="79" t="s">
        <v>32</v>
      </c>
      <c r="D1189" s="25"/>
      <c r="E1189" s="47">
        <f>SUM(E1191:E1192)</f>
        <v>17000</v>
      </c>
      <c r="F1189" s="23">
        <f>SUM(F1191:F1192)</f>
        <v>27670</v>
      </c>
      <c r="G1189" s="23">
        <f>SUM(G1191:G1192)</f>
        <v>27670</v>
      </c>
      <c r="H1189" s="23">
        <f>SUM(H1191:H1192)</f>
        <v>27700</v>
      </c>
      <c r="I1189" s="207">
        <f t="shared" si="63"/>
        <v>1.0010842067220818</v>
      </c>
      <c r="J1189" s="207">
        <f>H1189/$H$1431</f>
        <v>0.00041354698349134277</v>
      </c>
    </row>
    <row r="1190" spans="1:10" ht="12.75">
      <c r="A1190" s="147">
        <f t="shared" si="64"/>
        <v>1098</v>
      </c>
      <c r="B1190" s="4"/>
      <c r="C1190" s="79" t="s">
        <v>15</v>
      </c>
      <c r="D1190" s="25"/>
      <c r="E1190" s="46"/>
      <c r="F1190" s="131"/>
      <c r="G1190" s="131"/>
      <c r="H1190" s="131"/>
      <c r="I1190" s="207"/>
      <c r="J1190" s="207"/>
    </row>
    <row r="1191" spans="1:10" ht="12.75">
      <c r="A1191" s="147">
        <f t="shared" si="64"/>
        <v>1099</v>
      </c>
      <c r="B1191" s="4"/>
      <c r="C1191" s="79" t="s">
        <v>143</v>
      </c>
      <c r="D1191" s="25"/>
      <c r="E1191" s="46">
        <v>7400</v>
      </c>
      <c r="F1191" s="131">
        <v>9670</v>
      </c>
      <c r="G1191" s="131">
        <v>9670</v>
      </c>
      <c r="H1191" s="131">
        <v>8700</v>
      </c>
      <c r="I1191" s="207">
        <f t="shared" si="63"/>
        <v>0.8996897621509824</v>
      </c>
      <c r="J1191" s="207">
        <f>H1191/$H$1431</f>
        <v>0.00012988659770305712</v>
      </c>
    </row>
    <row r="1192" spans="1:10" ht="12.75">
      <c r="A1192" s="147">
        <f t="shared" si="64"/>
        <v>1100</v>
      </c>
      <c r="B1192" s="4"/>
      <c r="C1192" s="79" t="s">
        <v>44</v>
      </c>
      <c r="D1192" s="25"/>
      <c r="E1192" s="46">
        <v>9600</v>
      </c>
      <c r="F1192" s="131">
        <v>18000</v>
      </c>
      <c r="G1192" s="131">
        <v>18000</v>
      </c>
      <c r="H1192" s="131">
        <v>19000</v>
      </c>
      <c r="I1192" s="207">
        <f t="shared" si="63"/>
        <v>1.0555555555555556</v>
      </c>
      <c r="J1192" s="207">
        <f>H1192/$H$1431</f>
        <v>0.0002836603857882857</v>
      </c>
    </row>
    <row r="1193" spans="1:10" ht="12.75">
      <c r="A1193" s="147">
        <f t="shared" si="64"/>
        <v>1101</v>
      </c>
      <c r="B1193" s="4">
        <v>4120</v>
      </c>
      <c r="C1193" s="79" t="s">
        <v>33</v>
      </c>
      <c r="D1193" s="25"/>
      <c r="E1193" s="47">
        <f>SUM(E1195:E1196)</f>
        <v>2300</v>
      </c>
      <c r="F1193" s="23">
        <f>SUM(F1195:F1196)</f>
        <v>4080</v>
      </c>
      <c r="G1193" s="23">
        <f>SUM(G1195:G1196)</f>
        <v>4080</v>
      </c>
      <c r="H1193" s="23">
        <f>SUM(H1195:H1196)</f>
        <v>4100</v>
      </c>
      <c r="I1193" s="207">
        <f t="shared" si="63"/>
        <v>1.0049019607843137</v>
      </c>
      <c r="J1193" s="207">
        <f>H1193/$H$1431</f>
        <v>6.121092535431427E-05</v>
      </c>
    </row>
    <row r="1194" spans="1:10" ht="12.75">
      <c r="A1194" s="147">
        <f t="shared" si="64"/>
        <v>1102</v>
      </c>
      <c r="B1194" s="4"/>
      <c r="C1194" s="79" t="s">
        <v>15</v>
      </c>
      <c r="D1194" s="25"/>
      <c r="E1194" s="46"/>
      <c r="F1194" s="131"/>
      <c r="G1194" s="131"/>
      <c r="H1194" s="131"/>
      <c r="I1194" s="207"/>
      <c r="J1194" s="207"/>
    </row>
    <row r="1195" spans="1:10" ht="12.75">
      <c r="A1195" s="147">
        <f t="shared" si="64"/>
        <v>1103</v>
      </c>
      <c r="B1195" s="4"/>
      <c r="C1195" s="79" t="s">
        <v>143</v>
      </c>
      <c r="D1195" s="25"/>
      <c r="E1195" s="46">
        <v>1000</v>
      </c>
      <c r="F1195" s="131">
        <v>1430</v>
      </c>
      <c r="G1195" s="131">
        <v>1430</v>
      </c>
      <c r="H1195" s="131">
        <v>1400</v>
      </c>
      <c r="I1195" s="207">
        <f t="shared" si="63"/>
        <v>0.9790209790209791</v>
      </c>
      <c r="J1195" s="207">
        <f>H1195/$H$1431</f>
        <v>2.0901291584399995E-05</v>
      </c>
    </row>
    <row r="1196" spans="1:10" ht="12.75">
      <c r="A1196" s="147">
        <f t="shared" si="64"/>
        <v>1104</v>
      </c>
      <c r="B1196" s="4"/>
      <c r="C1196" s="79" t="s">
        <v>44</v>
      </c>
      <c r="D1196" s="25"/>
      <c r="E1196" s="46">
        <v>1300</v>
      </c>
      <c r="F1196" s="131">
        <v>2650</v>
      </c>
      <c r="G1196" s="131">
        <v>2650</v>
      </c>
      <c r="H1196" s="131">
        <v>2700</v>
      </c>
      <c r="I1196" s="207">
        <f t="shared" si="63"/>
        <v>1.0188679245283019</v>
      </c>
      <c r="J1196" s="207">
        <f>H1196/$H$1431</f>
        <v>4.030963376991428E-05</v>
      </c>
    </row>
    <row r="1197" spans="1:10" ht="12.75">
      <c r="A1197" s="147">
        <f t="shared" si="64"/>
        <v>1105</v>
      </c>
      <c r="B1197" s="4">
        <v>4440</v>
      </c>
      <c r="C1197" s="79" t="s">
        <v>436</v>
      </c>
      <c r="D1197" s="25"/>
      <c r="E1197" s="47">
        <f>SUM(E1199:E1200)</f>
        <v>5800</v>
      </c>
      <c r="F1197" s="23">
        <f>SUM(F1199:F1200)</f>
        <v>6725</v>
      </c>
      <c r="G1197" s="23">
        <f>SUM(G1199:G1200)</f>
        <v>6725</v>
      </c>
      <c r="H1197" s="23">
        <f>SUM(H1199:H1200)</f>
        <v>8100</v>
      </c>
      <c r="I1197" s="207">
        <f t="shared" si="63"/>
        <v>1.204460966542751</v>
      </c>
      <c r="J1197" s="207">
        <f>H1197/$H$1431</f>
        <v>0.00012092890130974284</v>
      </c>
    </row>
    <row r="1198" spans="1:10" ht="12.75">
      <c r="A1198" s="147">
        <f t="shared" si="64"/>
        <v>1106</v>
      </c>
      <c r="B1198" s="4"/>
      <c r="C1198" s="79" t="s">
        <v>15</v>
      </c>
      <c r="D1198" s="25"/>
      <c r="E1198" s="46"/>
      <c r="F1198" s="131"/>
      <c r="G1198" s="131"/>
      <c r="H1198" s="131"/>
      <c r="I1198" s="207"/>
      <c r="J1198" s="207"/>
    </row>
    <row r="1199" spans="1:10" ht="12.75">
      <c r="A1199" s="147">
        <f t="shared" si="64"/>
        <v>1107</v>
      </c>
      <c r="B1199" s="4"/>
      <c r="C1199" s="79" t="s">
        <v>143</v>
      </c>
      <c r="D1199" s="25"/>
      <c r="E1199" s="46">
        <v>2500</v>
      </c>
      <c r="F1199" s="131">
        <v>2275</v>
      </c>
      <c r="G1199" s="131">
        <v>2275</v>
      </c>
      <c r="H1199" s="131">
        <v>2400</v>
      </c>
      <c r="I1199" s="207">
        <f t="shared" si="63"/>
        <v>1.054945054945055</v>
      </c>
      <c r="J1199" s="207">
        <f>H1199/$H$1431</f>
        <v>3.5830785573257135E-05</v>
      </c>
    </row>
    <row r="1200" spans="1:10" ht="12.75">
      <c r="A1200" s="147">
        <f t="shared" si="64"/>
        <v>1108</v>
      </c>
      <c r="B1200" s="4"/>
      <c r="C1200" s="79" t="s">
        <v>44</v>
      </c>
      <c r="D1200" s="25"/>
      <c r="E1200" s="46">
        <v>3300</v>
      </c>
      <c r="F1200" s="131">
        <v>4450</v>
      </c>
      <c r="G1200" s="131">
        <v>4450</v>
      </c>
      <c r="H1200" s="131">
        <v>5700</v>
      </c>
      <c r="I1200" s="207">
        <f t="shared" si="63"/>
        <v>1.2808988764044944</v>
      </c>
      <c r="J1200" s="207">
        <f>H1200/$H$1431</f>
        <v>8.509811573648571E-05</v>
      </c>
    </row>
    <row r="1201" spans="1:10" ht="12.75">
      <c r="A1201" s="147"/>
      <c r="B1201" s="4"/>
      <c r="C1201" s="79"/>
      <c r="D1201" s="25"/>
      <c r="E1201" s="46"/>
      <c r="F1201" s="131"/>
      <c r="G1201" s="131"/>
      <c r="H1201" s="131"/>
      <c r="I1201" s="207"/>
      <c r="J1201" s="207"/>
    </row>
    <row r="1202" spans="1:10" s="29" customFormat="1" ht="12.75">
      <c r="A1202" s="147">
        <f>A1200+1</f>
        <v>1109</v>
      </c>
      <c r="B1202" s="11">
        <v>85412</v>
      </c>
      <c r="C1202" s="68" t="s">
        <v>113</v>
      </c>
      <c r="D1202" s="26"/>
      <c r="E1202" s="44"/>
      <c r="F1202" s="143"/>
      <c r="G1202" s="143"/>
      <c r="H1202" s="143"/>
      <c r="I1202" s="207"/>
      <c r="J1202" s="207"/>
    </row>
    <row r="1203" spans="1:10" s="29" customFormat="1" ht="12.75">
      <c r="A1203" s="147">
        <f t="shared" si="64"/>
        <v>1110</v>
      </c>
      <c r="B1203" s="11"/>
      <c r="C1203" s="68" t="s">
        <v>114</v>
      </c>
      <c r="D1203" s="26"/>
      <c r="E1203" s="44"/>
      <c r="F1203" s="143"/>
      <c r="G1203" s="143"/>
      <c r="H1203" s="143"/>
      <c r="I1203" s="207"/>
      <c r="J1203" s="207"/>
    </row>
    <row r="1204" spans="1:10" s="29" customFormat="1" ht="12.75">
      <c r="A1204" s="147">
        <f t="shared" si="64"/>
        <v>1111</v>
      </c>
      <c r="B1204" s="11"/>
      <c r="C1204" s="68" t="s">
        <v>210</v>
      </c>
      <c r="D1204" s="26"/>
      <c r="E1204" s="44" t="e">
        <f>#REF!+#REF!+#REF!+E1209+E1214+#REF!+E1219+#REF!</f>
        <v>#REF!</v>
      </c>
      <c r="F1204" s="26">
        <f>+F1205+F1206+F1207+F1208+F1209+F1214+F1219</f>
        <v>15731.09</v>
      </c>
      <c r="G1204" s="26">
        <f>+G1205+G1206+G1207+G1208+G1209+G1214+G1219</f>
        <v>15731.09</v>
      </c>
      <c r="H1204" s="26">
        <f>+H1205+H1206+H1207+H1208+H1209+H1214+H1219</f>
        <v>11500</v>
      </c>
      <c r="I1204" s="207">
        <f t="shared" si="63"/>
        <v>0.7310364380344909</v>
      </c>
      <c r="J1204" s="207">
        <f aca="true" t="shared" si="65" ref="J1204:J1209">H1204/$H$1431</f>
        <v>0.0001716891808718571</v>
      </c>
    </row>
    <row r="1205" spans="1:10" s="190" customFormat="1" ht="12.75">
      <c r="A1205" s="147">
        <f t="shared" si="64"/>
        <v>1112</v>
      </c>
      <c r="B1205" s="201">
        <v>4010</v>
      </c>
      <c r="C1205" s="40" t="s">
        <v>558</v>
      </c>
      <c r="D1205" s="137"/>
      <c r="E1205" s="129"/>
      <c r="F1205" s="137">
        <v>5078.53</v>
      </c>
      <c r="G1205" s="137">
        <v>5078.53</v>
      </c>
      <c r="H1205" s="137">
        <v>0</v>
      </c>
      <c r="I1205" s="207">
        <f t="shared" si="63"/>
        <v>0</v>
      </c>
      <c r="J1205" s="207">
        <f t="shared" si="65"/>
        <v>0</v>
      </c>
    </row>
    <row r="1206" spans="1:10" s="190" customFormat="1" ht="12.75">
      <c r="A1206" s="147">
        <f t="shared" si="64"/>
        <v>1113</v>
      </c>
      <c r="B1206" s="201">
        <v>4110</v>
      </c>
      <c r="C1206" s="40" t="s">
        <v>559</v>
      </c>
      <c r="D1206" s="137"/>
      <c r="E1206" s="129"/>
      <c r="F1206" s="137">
        <v>785.14</v>
      </c>
      <c r="G1206" s="137">
        <v>785.14</v>
      </c>
      <c r="H1206" s="137">
        <v>0</v>
      </c>
      <c r="I1206" s="207">
        <f t="shared" si="63"/>
        <v>0</v>
      </c>
      <c r="J1206" s="207">
        <f t="shared" si="65"/>
        <v>0</v>
      </c>
    </row>
    <row r="1207" spans="1:10" s="190" customFormat="1" ht="12.75">
      <c r="A1207" s="147">
        <f t="shared" si="64"/>
        <v>1114</v>
      </c>
      <c r="B1207" s="201">
        <v>4120</v>
      </c>
      <c r="C1207" s="40" t="s">
        <v>560</v>
      </c>
      <c r="D1207" s="137"/>
      <c r="E1207" s="129"/>
      <c r="F1207" s="137">
        <v>124.42</v>
      </c>
      <c r="G1207" s="137">
        <v>124.42</v>
      </c>
      <c r="H1207" s="137">
        <v>0</v>
      </c>
      <c r="I1207" s="207">
        <f t="shared" si="63"/>
        <v>0</v>
      </c>
      <c r="J1207" s="207">
        <f t="shared" si="65"/>
        <v>0</v>
      </c>
    </row>
    <row r="1208" spans="1:10" s="190" customFormat="1" ht="12.75">
      <c r="A1208" s="147">
        <f t="shared" si="64"/>
        <v>1115</v>
      </c>
      <c r="B1208" s="201">
        <v>4170</v>
      </c>
      <c r="C1208" s="40" t="s">
        <v>711</v>
      </c>
      <c r="D1208" s="137"/>
      <c r="E1208" s="129"/>
      <c r="F1208" s="137">
        <v>1050</v>
      </c>
      <c r="G1208" s="137">
        <v>1050</v>
      </c>
      <c r="H1208" s="137">
        <v>0</v>
      </c>
      <c r="I1208" s="207">
        <f t="shared" si="63"/>
        <v>0</v>
      </c>
      <c r="J1208" s="207">
        <f t="shared" si="65"/>
        <v>0</v>
      </c>
    </row>
    <row r="1209" spans="1:10" ht="12.75">
      <c r="A1209" s="147">
        <f t="shared" si="64"/>
        <v>1116</v>
      </c>
      <c r="B1209" s="4">
        <v>4210</v>
      </c>
      <c r="C1209" s="79" t="s">
        <v>132</v>
      </c>
      <c r="D1209" s="25"/>
      <c r="E1209" s="45">
        <f>SUM(E1211)</f>
        <v>2000</v>
      </c>
      <c r="F1209" s="28">
        <f>SUM(F1211:F1213)</f>
        <v>1763</v>
      </c>
      <c r="G1209" s="28">
        <f>SUM(G1211:G1213)</f>
        <v>1763</v>
      </c>
      <c r="H1209" s="28">
        <f>SUM(H1211:H1213)</f>
        <v>1500</v>
      </c>
      <c r="I1209" s="207">
        <f t="shared" si="63"/>
        <v>0.8508224617129893</v>
      </c>
      <c r="J1209" s="207">
        <f t="shared" si="65"/>
        <v>2.239424098328571E-05</v>
      </c>
    </row>
    <row r="1210" spans="1:10" ht="12.75">
      <c r="A1210" s="147">
        <f t="shared" si="64"/>
        <v>1117</v>
      </c>
      <c r="B1210" s="4"/>
      <c r="C1210" s="79" t="s">
        <v>15</v>
      </c>
      <c r="D1210" s="25"/>
      <c r="E1210" s="46"/>
      <c r="F1210" s="131"/>
      <c r="G1210" s="131"/>
      <c r="H1210" s="131"/>
      <c r="I1210" s="207"/>
      <c r="J1210" s="207"/>
    </row>
    <row r="1211" spans="1:10" ht="12.75">
      <c r="A1211" s="147">
        <f t="shared" si="64"/>
        <v>1118</v>
      </c>
      <c r="B1211" s="4"/>
      <c r="C1211" s="79" t="s">
        <v>143</v>
      </c>
      <c r="D1211" s="25"/>
      <c r="E1211" s="46">
        <f>52000-30000-20000</f>
        <v>2000</v>
      </c>
      <c r="F1211" s="131">
        <v>0</v>
      </c>
      <c r="G1211" s="131">
        <v>0</v>
      </c>
      <c r="H1211" s="131">
        <v>0</v>
      </c>
      <c r="I1211" s="207"/>
      <c r="J1211" s="207">
        <f>H1211/$H$1431</f>
        <v>0</v>
      </c>
    </row>
    <row r="1212" spans="1:10" ht="12.75">
      <c r="A1212" s="147">
        <f t="shared" si="64"/>
        <v>1119</v>
      </c>
      <c r="B1212" s="4"/>
      <c r="C1212" s="79" t="s">
        <v>144</v>
      </c>
      <c r="D1212" s="25"/>
      <c r="E1212" s="46"/>
      <c r="F1212" s="131">
        <v>563</v>
      </c>
      <c r="G1212" s="131">
        <v>563</v>
      </c>
      <c r="H1212" s="131">
        <v>0</v>
      </c>
      <c r="I1212" s="207">
        <f t="shared" si="63"/>
        <v>0</v>
      </c>
      <c r="J1212" s="207">
        <f>H1212/$H$1431</f>
        <v>0</v>
      </c>
    </row>
    <row r="1213" spans="1:10" ht="12.75">
      <c r="A1213" s="147">
        <f t="shared" si="64"/>
        <v>1120</v>
      </c>
      <c r="B1213" s="4"/>
      <c r="C1213" s="79" t="s">
        <v>44</v>
      </c>
      <c r="D1213" s="25"/>
      <c r="E1213" s="46"/>
      <c r="F1213" s="131">
        <v>1200</v>
      </c>
      <c r="G1213" s="131">
        <v>1200</v>
      </c>
      <c r="H1213" s="131">
        <v>1500</v>
      </c>
      <c r="I1213" s="207">
        <f t="shared" si="63"/>
        <v>1.25</v>
      </c>
      <c r="J1213" s="207">
        <f>H1213/$H$1431</f>
        <v>2.239424098328571E-05</v>
      </c>
    </row>
    <row r="1214" spans="1:10" ht="12.75">
      <c r="A1214" s="147">
        <f t="shared" si="64"/>
        <v>1121</v>
      </c>
      <c r="B1214" s="4">
        <v>4260</v>
      </c>
      <c r="C1214" s="79" t="s">
        <v>134</v>
      </c>
      <c r="D1214" s="25"/>
      <c r="E1214" s="47">
        <f>SUM(E1216)</f>
        <v>9500</v>
      </c>
      <c r="F1214" s="23">
        <f>SUM(F1216:F1218)</f>
        <v>4800</v>
      </c>
      <c r="G1214" s="23">
        <f>SUM(G1216:G1218)</f>
        <v>4800</v>
      </c>
      <c r="H1214" s="23">
        <f>SUM(H1216:H1218)</f>
        <v>7500</v>
      </c>
      <c r="I1214" s="207">
        <f t="shared" si="63"/>
        <v>1.5625</v>
      </c>
      <c r="J1214" s="207">
        <f>H1214/$H$1431</f>
        <v>0.00011197120491642855</v>
      </c>
    </row>
    <row r="1215" spans="1:10" ht="12.75">
      <c r="A1215" s="147">
        <f t="shared" si="64"/>
        <v>1122</v>
      </c>
      <c r="B1215" s="4"/>
      <c r="C1215" s="79" t="s">
        <v>15</v>
      </c>
      <c r="D1215" s="25"/>
      <c r="E1215" s="46"/>
      <c r="F1215" s="131"/>
      <c r="G1215" s="131"/>
      <c r="H1215" s="131"/>
      <c r="I1215" s="207"/>
      <c r="J1215" s="207"/>
    </row>
    <row r="1216" spans="1:10" ht="12.75">
      <c r="A1216" s="147">
        <f t="shared" si="64"/>
        <v>1123</v>
      </c>
      <c r="B1216" s="4"/>
      <c r="C1216" s="79" t="s">
        <v>143</v>
      </c>
      <c r="D1216" s="25"/>
      <c r="E1216" s="46">
        <v>9500</v>
      </c>
      <c r="F1216" s="131">
        <v>0</v>
      </c>
      <c r="G1216" s="131">
        <v>0</v>
      </c>
      <c r="H1216" s="131">
        <v>0</v>
      </c>
      <c r="I1216" s="207"/>
      <c r="J1216" s="207">
        <f>H1216/$H$1431</f>
        <v>0</v>
      </c>
    </row>
    <row r="1217" spans="1:10" ht="12.75">
      <c r="A1217" s="147">
        <f t="shared" si="64"/>
        <v>1124</v>
      </c>
      <c r="B1217" s="4"/>
      <c r="C1217" s="79" t="s">
        <v>144</v>
      </c>
      <c r="D1217" s="25"/>
      <c r="E1217" s="46"/>
      <c r="F1217" s="131">
        <v>0</v>
      </c>
      <c r="G1217" s="131">
        <v>0</v>
      </c>
      <c r="H1217" s="131">
        <v>0</v>
      </c>
      <c r="I1217" s="207"/>
      <c r="J1217" s="207">
        <f>H1217/$H$1431</f>
        <v>0</v>
      </c>
    </row>
    <row r="1218" spans="1:10" ht="12.75">
      <c r="A1218" s="147">
        <f t="shared" si="64"/>
        <v>1125</v>
      </c>
      <c r="B1218" s="4"/>
      <c r="C1218" s="79" t="s">
        <v>44</v>
      </c>
      <c r="D1218" s="25"/>
      <c r="E1218" s="46"/>
      <c r="F1218" s="131">
        <v>4800</v>
      </c>
      <c r="G1218" s="131">
        <v>4800</v>
      </c>
      <c r="H1218" s="131">
        <v>7500</v>
      </c>
      <c r="I1218" s="207">
        <f t="shared" si="63"/>
        <v>1.5625</v>
      </c>
      <c r="J1218" s="207">
        <f>H1218/$H$1431</f>
        <v>0.00011197120491642855</v>
      </c>
    </row>
    <row r="1219" spans="1:10" ht="12.75">
      <c r="A1219" s="147">
        <f t="shared" si="64"/>
        <v>1126</v>
      </c>
      <c r="B1219" s="4">
        <v>4300</v>
      </c>
      <c r="C1219" s="79" t="s">
        <v>141</v>
      </c>
      <c r="D1219" s="25"/>
      <c r="E1219" s="45">
        <f>SUM(E1221:E1222)</f>
        <v>8000</v>
      </c>
      <c r="F1219" s="28">
        <f>SUM(F1221:F1223)</f>
        <v>2130</v>
      </c>
      <c r="G1219" s="28">
        <f>SUM(G1221:G1223)</f>
        <v>2130</v>
      </c>
      <c r="H1219" s="28">
        <f>SUM(H1221:H1223)</f>
        <v>2500</v>
      </c>
      <c r="I1219" s="207">
        <f t="shared" si="63"/>
        <v>1.1737089201877935</v>
      </c>
      <c r="J1219" s="207">
        <f>H1219/$H$1431</f>
        <v>3.7323734972142854E-05</v>
      </c>
    </row>
    <row r="1220" spans="1:10" ht="12.75">
      <c r="A1220" s="147">
        <f t="shared" si="64"/>
        <v>1127</v>
      </c>
      <c r="B1220" s="4"/>
      <c r="C1220" s="79" t="s">
        <v>15</v>
      </c>
      <c r="D1220" s="25"/>
      <c r="E1220" s="46"/>
      <c r="F1220" s="131"/>
      <c r="G1220" s="131"/>
      <c r="H1220" s="131"/>
      <c r="I1220" s="207"/>
      <c r="J1220" s="207"/>
    </row>
    <row r="1221" spans="1:10" ht="12.75">
      <c r="A1221" s="147">
        <f t="shared" si="64"/>
        <v>1128</v>
      </c>
      <c r="B1221" s="4"/>
      <c r="C1221" s="79" t="s">
        <v>143</v>
      </c>
      <c r="D1221" s="25"/>
      <c r="E1221" s="46">
        <v>8000</v>
      </c>
      <c r="F1221" s="131">
        <v>0</v>
      </c>
      <c r="G1221" s="131">
        <v>0</v>
      </c>
      <c r="H1221" s="131">
        <v>0</v>
      </c>
      <c r="I1221" s="207"/>
      <c r="J1221" s="207">
        <f>H1221/$H$1431</f>
        <v>0</v>
      </c>
    </row>
    <row r="1222" spans="1:10" ht="12.75">
      <c r="A1222" s="147">
        <f t="shared" si="64"/>
        <v>1129</v>
      </c>
      <c r="B1222" s="4"/>
      <c r="C1222" s="79" t="s">
        <v>144</v>
      </c>
      <c r="D1222" s="25"/>
      <c r="E1222" s="46">
        <v>0</v>
      </c>
      <c r="F1222" s="131">
        <v>630</v>
      </c>
      <c r="G1222" s="131">
        <v>630</v>
      </c>
      <c r="H1222" s="131">
        <v>0</v>
      </c>
      <c r="I1222" s="207">
        <f t="shared" si="63"/>
        <v>0</v>
      </c>
      <c r="J1222" s="207">
        <f>H1222/$H$1431</f>
        <v>0</v>
      </c>
    </row>
    <row r="1223" spans="1:10" ht="12.75">
      <c r="A1223" s="147">
        <f t="shared" si="64"/>
        <v>1130</v>
      </c>
      <c r="B1223" s="4"/>
      <c r="C1223" s="79" t="s">
        <v>44</v>
      </c>
      <c r="D1223" s="25"/>
      <c r="E1223" s="46"/>
      <c r="F1223" s="131">
        <v>1500</v>
      </c>
      <c r="G1223" s="131">
        <v>1500</v>
      </c>
      <c r="H1223" s="131">
        <v>2500</v>
      </c>
      <c r="I1223" s="207">
        <f t="shared" si="63"/>
        <v>1.6666666666666667</v>
      </c>
      <c r="J1223" s="207">
        <f>H1223/$H$1431</f>
        <v>3.7323734972142854E-05</v>
      </c>
    </row>
    <row r="1224" spans="1:10" s="73" customFormat="1" ht="12.75">
      <c r="A1224" s="147">
        <f t="shared" si="64"/>
        <v>1131</v>
      </c>
      <c r="B1224" s="62">
        <v>85415</v>
      </c>
      <c r="C1224" s="68" t="s">
        <v>229</v>
      </c>
      <c r="D1224" s="63"/>
      <c r="E1224" s="72"/>
      <c r="F1224" s="138">
        <f>F1225</f>
        <v>99704</v>
      </c>
      <c r="G1224" s="138">
        <f>G1225</f>
        <v>99704</v>
      </c>
      <c r="H1224" s="138">
        <f>H1225</f>
        <v>40000</v>
      </c>
      <c r="I1224" s="207">
        <f t="shared" si="63"/>
        <v>0.4011875150445318</v>
      </c>
      <c r="J1224" s="207">
        <f>H1224/$H$1431</f>
        <v>0.0005971797595542857</v>
      </c>
    </row>
    <row r="1225" spans="1:10" ht="12.75">
      <c r="A1225" s="147">
        <f t="shared" si="64"/>
        <v>1132</v>
      </c>
      <c r="B1225" s="4">
        <v>3260</v>
      </c>
      <c r="C1225" s="79" t="s">
        <v>223</v>
      </c>
      <c r="D1225" s="25"/>
      <c r="E1225" s="46"/>
      <c r="F1225" s="131">
        <f>SUM(F1227:F1229)</f>
        <v>99704</v>
      </c>
      <c r="G1225" s="131">
        <f>SUM(G1227:G1229)</f>
        <v>99704</v>
      </c>
      <c r="H1225" s="131">
        <f>SUM(H1227:H1229)</f>
        <v>40000</v>
      </c>
      <c r="I1225" s="207">
        <f t="shared" si="63"/>
        <v>0.4011875150445318</v>
      </c>
      <c r="J1225" s="207">
        <f>H1225/$H$1431</f>
        <v>0.0005971797595542857</v>
      </c>
    </row>
    <row r="1226" spans="1:10" ht="12.75">
      <c r="A1226" s="147">
        <f t="shared" si="64"/>
        <v>1133</v>
      </c>
      <c r="B1226" s="4"/>
      <c r="C1226" s="79" t="s">
        <v>15</v>
      </c>
      <c r="D1226" s="25"/>
      <c r="E1226" s="46"/>
      <c r="F1226" s="131"/>
      <c r="G1226" s="131"/>
      <c r="H1226" s="131"/>
      <c r="I1226" s="207"/>
      <c r="J1226" s="207"/>
    </row>
    <row r="1227" spans="1:10" ht="12.75">
      <c r="A1227" s="147">
        <f t="shared" si="64"/>
        <v>1134</v>
      </c>
      <c r="B1227" s="4"/>
      <c r="C1227" s="79" t="s">
        <v>561</v>
      </c>
      <c r="D1227" s="25"/>
      <c r="E1227" s="46"/>
      <c r="F1227" s="131">
        <v>94864</v>
      </c>
      <c r="G1227" s="131">
        <v>94864</v>
      </c>
      <c r="H1227" s="131">
        <v>40000</v>
      </c>
      <c r="I1227" s="207">
        <f t="shared" si="63"/>
        <v>0.42165626581210996</v>
      </c>
      <c r="J1227" s="207">
        <f>H1227/$H$1431</f>
        <v>0.0005971797595542857</v>
      </c>
    </row>
    <row r="1228" spans="1:10" ht="12.75">
      <c r="A1228" s="147">
        <f t="shared" si="64"/>
        <v>1135</v>
      </c>
      <c r="B1228" s="4"/>
      <c r="C1228" s="79" t="s">
        <v>562</v>
      </c>
      <c r="D1228" s="25"/>
      <c r="E1228" s="46"/>
      <c r="F1228" s="131">
        <v>3000</v>
      </c>
      <c r="G1228" s="131">
        <v>3000</v>
      </c>
      <c r="H1228" s="131">
        <v>0</v>
      </c>
      <c r="I1228" s="207">
        <f t="shared" si="63"/>
        <v>0</v>
      </c>
      <c r="J1228" s="207">
        <f>H1228/$H$1431</f>
        <v>0</v>
      </c>
    </row>
    <row r="1229" spans="1:10" ht="12.75">
      <c r="A1229" s="147">
        <f t="shared" si="64"/>
        <v>1136</v>
      </c>
      <c r="B1229" s="4"/>
      <c r="C1229" s="79" t="s">
        <v>563</v>
      </c>
      <c r="D1229" s="25"/>
      <c r="E1229" s="46"/>
      <c r="F1229" s="131">
        <v>1840</v>
      </c>
      <c r="G1229" s="131">
        <v>1840</v>
      </c>
      <c r="H1229" s="131">
        <v>0</v>
      </c>
      <c r="I1229" s="207">
        <f t="shared" si="63"/>
        <v>0</v>
      </c>
      <c r="J1229" s="207">
        <f>H1229/$H$1431</f>
        <v>0</v>
      </c>
    </row>
    <row r="1230" spans="1:10" ht="12.75">
      <c r="A1230" s="147">
        <f t="shared" si="64"/>
        <v>1137</v>
      </c>
      <c r="B1230" s="62">
        <v>85446</v>
      </c>
      <c r="C1230" s="68" t="s">
        <v>176</v>
      </c>
      <c r="D1230" s="25"/>
      <c r="E1230" s="46"/>
      <c r="F1230" s="138">
        <f>F1231+F1235</f>
        <v>482</v>
      </c>
      <c r="G1230" s="138">
        <f>G1231+G1235</f>
        <v>482</v>
      </c>
      <c r="H1230" s="138">
        <f>H1231+H1235</f>
        <v>576</v>
      </c>
      <c r="I1230" s="207">
        <f t="shared" si="63"/>
        <v>1.1950207468879668</v>
      </c>
      <c r="J1230" s="207">
        <f>H1230/$H$1431</f>
        <v>8.599388537581713E-06</v>
      </c>
    </row>
    <row r="1231" spans="1:10" ht="12.75">
      <c r="A1231" s="147">
        <f t="shared" si="64"/>
        <v>1138</v>
      </c>
      <c r="B1231" s="4">
        <v>4410</v>
      </c>
      <c r="C1231" s="79" t="s">
        <v>29</v>
      </c>
      <c r="D1231" s="25"/>
      <c r="E1231" s="46"/>
      <c r="F1231" s="131">
        <f>SUM(F1233)</f>
        <v>282</v>
      </c>
      <c r="G1231" s="131">
        <f>SUM(G1233)</f>
        <v>282</v>
      </c>
      <c r="H1231" s="131">
        <f>SUM(H1233)</f>
        <v>276</v>
      </c>
      <c r="I1231" s="207">
        <f t="shared" si="63"/>
        <v>0.9787234042553191</v>
      </c>
      <c r="J1231" s="207">
        <f>H1231/$H$1431</f>
        <v>4.120540340924571E-06</v>
      </c>
    </row>
    <row r="1232" spans="1:10" ht="12.75">
      <c r="A1232" s="147">
        <f t="shared" si="64"/>
        <v>1139</v>
      </c>
      <c r="B1232" s="4"/>
      <c r="C1232" s="79" t="s">
        <v>15</v>
      </c>
      <c r="D1232" s="25"/>
      <c r="E1232" s="46"/>
      <c r="F1232" s="131"/>
      <c r="G1232" s="131"/>
      <c r="H1232" s="131"/>
      <c r="I1232" s="207"/>
      <c r="J1232" s="207"/>
    </row>
    <row r="1233" spans="1:10" ht="12.75">
      <c r="A1233" s="147">
        <f t="shared" si="64"/>
        <v>1140</v>
      </c>
      <c r="B1233" s="4"/>
      <c r="C1233" s="79" t="s">
        <v>143</v>
      </c>
      <c r="D1233" s="25"/>
      <c r="E1233" s="46"/>
      <c r="F1233" s="131">
        <v>282</v>
      </c>
      <c r="G1233" s="131">
        <v>282</v>
      </c>
      <c r="H1233" s="131">
        <v>276</v>
      </c>
      <c r="I1233" s="207">
        <f aca="true" t="shared" si="66" ref="I1233:I1294">H1233/G1233</f>
        <v>0.9787234042553191</v>
      </c>
      <c r="J1233" s="207">
        <f>H1233/$H$1431</f>
        <v>4.120540340924571E-06</v>
      </c>
    </row>
    <row r="1234" spans="1:10" ht="12.75">
      <c r="A1234" s="147">
        <f t="shared" si="64"/>
        <v>1141</v>
      </c>
      <c r="B1234" s="4">
        <v>4700</v>
      </c>
      <c r="C1234" s="79" t="s">
        <v>295</v>
      </c>
      <c r="D1234" s="25"/>
      <c r="E1234" s="46"/>
      <c r="F1234" s="131"/>
      <c r="G1234" s="131"/>
      <c r="H1234" s="131"/>
      <c r="I1234" s="207"/>
      <c r="J1234" s="207"/>
    </row>
    <row r="1235" spans="1:10" ht="12.75">
      <c r="A1235" s="147">
        <f t="shared" si="64"/>
        <v>1142</v>
      </c>
      <c r="B1235" s="4"/>
      <c r="C1235" s="79" t="s">
        <v>296</v>
      </c>
      <c r="D1235" s="25"/>
      <c r="E1235" s="46"/>
      <c r="F1235" s="131">
        <f>SUM(F1237)</f>
        <v>200</v>
      </c>
      <c r="G1235" s="131">
        <f>SUM(G1237)</f>
        <v>200</v>
      </c>
      <c r="H1235" s="131">
        <f>SUM(H1237)</f>
        <v>300</v>
      </c>
      <c r="I1235" s="207">
        <f t="shared" si="66"/>
        <v>1.5</v>
      </c>
      <c r="J1235" s="207">
        <f>H1235/$H$1431</f>
        <v>4.478848196657142E-06</v>
      </c>
    </row>
    <row r="1236" spans="1:10" ht="12.75">
      <c r="A1236" s="147">
        <f t="shared" si="64"/>
        <v>1143</v>
      </c>
      <c r="B1236" s="4"/>
      <c r="C1236" s="79" t="s">
        <v>15</v>
      </c>
      <c r="D1236" s="25"/>
      <c r="E1236" s="46"/>
      <c r="F1236" s="131"/>
      <c r="G1236" s="131"/>
      <c r="H1236" s="131"/>
      <c r="I1236" s="207"/>
      <c r="J1236" s="207">
        <f>H1236/$H$1431</f>
        <v>0</v>
      </c>
    </row>
    <row r="1237" spans="1:10" ht="12.75">
      <c r="A1237" s="147">
        <f t="shared" si="64"/>
        <v>1144</v>
      </c>
      <c r="B1237" s="4"/>
      <c r="C1237" s="79" t="s">
        <v>143</v>
      </c>
      <c r="D1237" s="25"/>
      <c r="E1237" s="46"/>
      <c r="F1237" s="131">
        <v>200</v>
      </c>
      <c r="G1237" s="131">
        <v>200</v>
      </c>
      <c r="H1237" s="131">
        <v>300</v>
      </c>
      <c r="I1237" s="207">
        <f t="shared" si="66"/>
        <v>1.5</v>
      </c>
      <c r="J1237" s="207">
        <f>H1237/$H$1431</f>
        <v>4.478848196657142E-06</v>
      </c>
    </row>
    <row r="1238" spans="1:10" s="73" customFormat="1" ht="12.75">
      <c r="A1238" s="147">
        <f t="shared" si="64"/>
        <v>1145</v>
      </c>
      <c r="B1238" s="62">
        <v>85495</v>
      </c>
      <c r="C1238" s="68" t="s">
        <v>25</v>
      </c>
      <c r="D1238" s="63"/>
      <c r="E1238" s="72"/>
      <c r="F1238" s="138">
        <f>F1240</f>
        <v>1480</v>
      </c>
      <c r="G1238" s="138">
        <f>G1240</f>
        <v>1480</v>
      </c>
      <c r="H1238" s="138">
        <f>H1240</f>
        <v>1640</v>
      </c>
      <c r="I1238" s="207">
        <f t="shared" si="66"/>
        <v>1.1081081081081081</v>
      </c>
      <c r="J1238" s="207">
        <f>H1238/$H$1431</f>
        <v>2.4484370141725712E-05</v>
      </c>
    </row>
    <row r="1239" spans="1:10" ht="12.75">
      <c r="A1239" s="147">
        <f t="shared" si="64"/>
        <v>1146</v>
      </c>
      <c r="B1239" s="4">
        <v>4440</v>
      </c>
      <c r="C1239" s="79" t="s">
        <v>436</v>
      </c>
      <c r="D1239" s="25"/>
      <c r="E1239" s="46"/>
      <c r="F1239" s="131"/>
      <c r="G1239" s="131"/>
      <c r="H1239" s="131"/>
      <c r="I1239" s="207"/>
      <c r="J1239" s="207"/>
    </row>
    <row r="1240" spans="1:10" ht="12.75">
      <c r="A1240" s="147">
        <f t="shared" si="64"/>
        <v>1147</v>
      </c>
      <c r="B1240" s="4"/>
      <c r="C1240" s="79" t="s">
        <v>206</v>
      </c>
      <c r="D1240" s="25"/>
      <c r="E1240" s="46"/>
      <c r="F1240" s="131">
        <f>SUM(F1242:F1243)</f>
        <v>1480</v>
      </c>
      <c r="G1240" s="131">
        <f>SUM(G1242:G1243)</f>
        <v>1480</v>
      </c>
      <c r="H1240" s="131">
        <f>SUM(H1242:H1243)</f>
        <v>1640</v>
      </c>
      <c r="I1240" s="207">
        <f t="shared" si="66"/>
        <v>1.1081081081081081</v>
      </c>
      <c r="J1240" s="207">
        <f>H1240/$H$1431</f>
        <v>2.4484370141725712E-05</v>
      </c>
    </row>
    <row r="1241" spans="1:10" ht="12.75">
      <c r="A1241" s="147">
        <f t="shared" si="64"/>
        <v>1148</v>
      </c>
      <c r="B1241" s="4"/>
      <c r="C1241" s="79" t="s">
        <v>15</v>
      </c>
      <c r="D1241" s="25"/>
      <c r="E1241" s="46"/>
      <c r="F1241" s="131"/>
      <c r="G1241" s="131"/>
      <c r="H1241" s="131"/>
      <c r="I1241" s="207"/>
      <c r="J1241" s="207"/>
    </row>
    <row r="1242" spans="1:10" ht="12.75">
      <c r="A1242" s="147">
        <f t="shared" si="64"/>
        <v>1149</v>
      </c>
      <c r="B1242" s="4"/>
      <c r="C1242" s="79" t="s">
        <v>143</v>
      </c>
      <c r="D1242" s="25"/>
      <c r="E1242" s="46"/>
      <c r="F1242" s="131">
        <v>880</v>
      </c>
      <c r="G1242" s="131">
        <v>880</v>
      </c>
      <c r="H1242" s="131">
        <v>940</v>
      </c>
      <c r="I1242" s="207">
        <f t="shared" si="66"/>
        <v>1.0681818181818181</v>
      </c>
      <c r="J1242" s="207">
        <f>H1242/$H$1431</f>
        <v>1.4033724349525713E-05</v>
      </c>
    </row>
    <row r="1243" spans="1:10" ht="12.75">
      <c r="A1243" s="147">
        <f t="shared" si="64"/>
        <v>1150</v>
      </c>
      <c r="B1243" s="4"/>
      <c r="C1243" s="79" t="s">
        <v>44</v>
      </c>
      <c r="D1243" s="25"/>
      <c r="E1243" s="46"/>
      <c r="F1243" s="131">
        <v>600</v>
      </c>
      <c r="G1243" s="131">
        <v>600</v>
      </c>
      <c r="H1243" s="131">
        <v>700</v>
      </c>
      <c r="I1243" s="207">
        <f t="shared" si="66"/>
        <v>1.1666666666666667</v>
      </c>
      <c r="J1243" s="207">
        <f>H1243/$H$1431</f>
        <v>1.0450645792199998E-05</v>
      </c>
    </row>
    <row r="1244" spans="1:10" s="70" customFormat="1" ht="12.75">
      <c r="A1244" s="147">
        <f t="shared" si="64"/>
        <v>1151</v>
      </c>
      <c r="B1244" s="56">
        <v>900</v>
      </c>
      <c r="C1244" s="78" t="s">
        <v>115</v>
      </c>
      <c r="D1244" s="58"/>
      <c r="E1244" s="71"/>
      <c r="F1244" s="141"/>
      <c r="G1244" s="141"/>
      <c r="H1244" s="141"/>
      <c r="I1244" s="207"/>
      <c r="J1244" s="207"/>
    </row>
    <row r="1245" spans="1:10" s="70" customFormat="1" ht="12.75">
      <c r="A1245" s="147">
        <f t="shared" si="64"/>
        <v>1152</v>
      </c>
      <c r="B1245" s="61"/>
      <c r="C1245" s="78" t="s">
        <v>116</v>
      </c>
      <c r="D1245" s="58"/>
      <c r="E1245" s="59" t="e">
        <f>#REF!+E1246+E1266+E1283+E1294+E1309</f>
        <v>#REF!</v>
      </c>
      <c r="F1245" s="58">
        <f>F1246+F1266+F1283+F1294+F1309</f>
        <v>10364146</v>
      </c>
      <c r="G1245" s="58">
        <f>G1246+G1266+G1283+G1294+G1309</f>
        <v>6580131.24</v>
      </c>
      <c r="H1245" s="58">
        <f>H1246+H1266+H1283+H1294+H1309</f>
        <v>10853754.719999999</v>
      </c>
      <c r="I1245" s="207">
        <f t="shared" si="66"/>
        <v>1.6494738971194134</v>
      </c>
      <c r="J1245" s="207">
        <f>H1245/$H$1431</f>
        <v>0.1620410658487698</v>
      </c>
    </row>
    <row r="1246" spans="1:10" s="73" customFormat="1" ht="12.75">
      <c r="A1246" s="147">
        <f t="shared" si="64"/>
        <v>1153</v>
      </c>
      <c r="B1246" s="62">
        <v>90003</v>
      </c>
      <c r="C1246" s="68" t="s">
        <v>117</v>
      </c>
      <c r="D1246" s="63"/>
      <c r="E1246" s="64" t="e">
        <f>+#REF!+E1247+E1248</f>
        <v>#REF!</v>
      </c>
      <c r="F1246" s="63">
        <f>+F1247+F1248+F1264</f>
        <v>1074500</v>
      </c>
      <c r="G1246" s="63">
        <f>+G1247+G1248+G1264</f>
        <v>1074451</v>
      </c>
      <c r="H1246" s="63">
        <f>+H1247+H1248+H1264</f>
        <v>1935000</v>
      </c>
      <c r="I1246" s="207">
        <f t="shared" si="66"/>
        <v>1.8009197255156355</v>
      </c>
      <c r="J1246" s="207">
        <f>H1246/$H$1431</f>
        <v>0.028888570868438566</v>
      </c>
    </row>
    <row r="1247" spans="1:10" s="73" customFormat="1" ht="12.75">
      <c r="A1247" s="147">
        <f t="shared" si="64"/>
        <v>1154</v>
      </c>
      <c r="B1247" s="14">
        <v>4210</v>
      </c>
      <c r="C1247" s="79" t="s">
        <v>132</v>
      </c>
      <c r="D1247" s="63"/>
      <c r="E1247" s="83">
        <v>30000</v>
      </c>
      <c r="F1247" s="136">
        <v>54400</v>
      </c>
      <c r="G1247" s="136">
        <v>54351</v>
      </c>
      <c r="H1247" s="136">
        <v>55000</v>
      </c>
      <c r="I1247" s="207">
        <f t="shared" si="66"/>
        <v>1.0119409026512851</v>
      </c>
      <c r="J1247" s="207">
        <f>H1247/$H$1431</f>
        <v>0.0008211221693871427</v>
      </c>
    </row>
    <row r="1248" spans="1:10" ht="12.75">
      <c r="A1248" s="147">
        <f aca="true" t="shared" si="67" ref="A1248:A1311">A1247+1</f>
        <v>1155</v>
      </c>
      <c r="B1248" s="12">
        <v>4300</v>
      </c>
      <c r="C1248" s="79" t="s">
        <v>130</v>
      </c>
      <c r="D1248" s="25"/>
      <c r="E1248" s="47">
        <f>SUM(E1250:E1255)</f>
        <v>666200</v>
      </c>
      <c r="F1248" s="23">
        <f>SUM(F1250:F1258)</f>
        <v>1020100</v>
      </c>
      <c r="G1248" s="23">
        <f>SUM(G1250:G1258)</f>
        <v>1020100</v>
      </c>
      <c r="H1248" s="23">
        <f>SUM(H1250:H1258)</f>
        <v>1380000</v>
      </c>
      <c r="I1248" s="207">
        <f t="shared" si="66"/>
        <v>1.3528085481815508</v>
      </c>
      <c r="J1248" s="207">
        <f>H1248/$H$1431</f>
        <v>0.020602701704622854</v>
      </c>
    </row>
    <row r="1249" spans="1:10" ht="12.75">
      <c r="A1249" s="147">
        <f t="shared" si="67"/>
        <v>1156</v>
      </c>
      <c r="B1249" s="53"/>
      <c r="C1249" s="79" t="s">
        <v>15</v>
      </c>
      <c r="D1249" s="25"/>
      <c r="E1249" s="46"/>
      <c r="F1249" s="131"/>
      <c r="G1249" s="131"/>
      <c r="H1249" s="131"/>
      <c r="I1249" s="207"/>
      <c r="J1249" s="207"/>
    </row>
    <row r="1250" spans="1:10" ht="12.75">
      <c r="A1250" s="147">
        <f t="shared" si="67"/>
        <v>1157</v>
      </c>
      <c r="B1250" s="13"/>
      <c r="C1250" s="79" t="s">
        <v>584</v>
      </c>
      <c r="D1250" s="25"/>
      <c r="E1250" s="46">
        <v>500000</v>
      </c>
      <c r="F1250" s="131">
        <v>550000</v>
      </c>
      <c r="G1250" s="131">
        <v>550000</v>
      </c>
      <c r="H1250" s="131">
        <f>800000+30000</f>
        <v>830000</v>
      </c>
      <c r="I1250" s="207">
        <f t="shared" si="66"/>
        <v>1.509090909090909</v>
      </c>
      <c r="J1250" s="207">
        <f aca="true" t="shared" si="68" ref="J1250:J1258">H1250/$H$1431</f>
        <v>0.012391480010751427</v>
      </c>
    </row>
    <row r="1251" spans="1:10" ht="12.75">
      <c r="A1251" s="147">
        <f t="shared" si="67"/>
        <v>1158</v>
      </c>
      <c r="B1251" s="4"/>
      <c r="C1251" s="79" t="s">
        <v>21</v>
      </c>
      <c r="D1251" s="25"/>
      <c r="E1251" s="46">
        <v>100000</v>
      </c>
      <c r="F1251" s="131">
        <v>200000</v>
      </c>
      <c r="G1251" s="131">
        <v>200000</v>
      </c>
      <c r="H1251" s="131">
        <v>250000</v>
      </c>
      <c r="I1251" s="207">
        <f t="shared" si="66"/>
        <v>1.25</v>
      </c>
      <c r="J1251" s="207">
        <f t="shared" si="68"/>
        <v>0.003732373497214285</v>
      </c>
    </row>
    <row r="1252" spans="1:10" ht="12.75">
      <c r="A1252" s="147">
        <f t="shared" si="67"/>
        <v>1159</v>
      </c>
      <c r="B1252" s="4"/>
      <c r="C1252" s="79" t="s">
        <v>585</v>
      </c>
      <c r="D1252" s="25"/>
      <c r="E1252" s="46">
        <v>50000</v>
      </c>
      <c r="F1252" s="131">
        <v>94500</v>
      </c>
      <c r="G1252" s="131">
        <v>94500</v>
      </c>
      <c r="H1252" s="131">
        <v>100000</v>
      </c>
      <c r="I1252" s="207">
        <f t="shared" si="66"/>
        <v>1.0582010582010581</v>
      </c>
      <c r="J1252" s="207">
        <f t="shared" si="68"/>
        <v>0.001492949398885714</v>
      </c>
    </row>
    <row r="1253" spans="1:10" ht="12.75">
      <c r="A1253" s="147">
        <f t="shared" si="67"/>
        <v>1160</v>
      </c>
      <c r="B1253" s="4"/>
      <c r="C1253" s="79" t="s">
        <v>22</v>
      </c>
      <c r="D1253" s="25"/>
      <c r="E1253" s="46">
        <v>2000</v>
      </c>
      <c r="F1253" s="131">
        <v>0</v>
      </c>
      <c r="G1253" s="131">
        <v>0</v>
      </c>
      <c r="H1253" s="131">
        <v>10000</v>
      </c>
      <c r="I1253" s="207"/>
      <c r="J1253" s="207">
        <f t="shared" si="68"/>
        <v>0.00014929493988857142</v>
      </c>
    </row>
    <row r="1254" spans="1:10" ht="12.75">
      <c r="A1254" s="147">
        <f t="shared" si="67"/>
        <v>1161</v>
      </c>
      <c r="B1254" s="4"/>
      <c r="C1254" s="79" t="s">
        <v>23</v>
      </c>
      <c r="D1254" s="25"/>
      <c r="E1254" s="46">
        <v>14200</v>
      </c>
      <c r="F1254" s="131">
        <v>25000</v>
      </c>
      <c r="G1254" s="131">
        <v>25000</v>
      </c>
      <c r="H1254" s="131">
        <v>0</v>
      </c>
      <c r="I1254" s="207">
        <f t="shared" si="66"/>
        <v>0</v>
      </c>
      <c r="J1254" s="207">
        <f t="shared" si="68"/>
        <v>0</v>
      </c>
    </row>
    <row r="1255" spans="1:10" ht="12.75">
      <c r="A1255" s="147">
        <f t="shared" si="67"/>
        <v>1162</v>
      </c>
      <c r="B1255" s="4"/>
      <c r="C1255" s="79" t="s">
        <v>377</v>
      </c>
      <c r="D1255" s="25"/>
      <c r="E1255" s="46">
        <v>0</v>
      </c>
      <c r="F1255" s="131">
        <v>50600</v>
      </c>
      <c r="G1255" s="131">
        <v>50600</v>
      </c>
      <c r="H1255" s="131">
        <v>27000</v>
      </c>
      <c r="I1255" s="207">
        <f t="shared" si="66"/>
        <v>0.5335968379446641</v>
      </c>
      <c r="J1255" s="207">
        <f t="shared" si="68"/>
        <v>0.00040309633769914277</v>
      </c>
    </row>
    <row r="1256" spans="1:10" ht="12.75">
      <c r="A1256" s="147">
        <f t="shared" si="67"/>
        <v>1163</v>
      </c>
      <c r="B1256" s="4"/>
      <c r="C1256" s="79" t="s">
        <v>586</v>
      </c>
      <c r="D1256" s="25"/>
      <c r="E1256" s="46"/>
      <c r="F1256" s="131">
        <v>0</v>
      </c>
      <c r="G1256" s="131">
        <v>0</v>
      </c>
      <c r="H1256" s="131">
        <v>43000</v>
      </c>
      <c r="I1256" s="207"/>
      <c r="J1256" s="207">
        <f t="shared" si="68"/>
        <v>0.0006419682415208571</v>
      </c>
    </row>
    <row r="1257" spans="1:10" ht="12.75">
      <c r="A1257" s="147">
        <f t="shared" si="67"/>
        <v>1164</v>
      </c>
      <c r="B1257" s="4"/>
      <c r="C1257" s="79" t="s">
        <v>174</v>
      </c>
      <c r="D1257" s="25"/>
      <c r="E1257" s="46"/>
      <c r="F1257" s="131">
        <v>0</v>
      </c>
      <c r="G1257" s="131">
        <v>0</v>
      </c>
      <c r="H1257" s="131">
        <v>20000</v>
      </c>
      <c r="I1257" s="207"/>
      <c r="J1257" s="207">
        <f t="shared" si="68"/>
        <v>0.00029858987977714283</v>
      </c>
    </row>
    <row r="1258" spans="1:10" ht="12.75">
      <c r="A1258" s="147">
        <f t="shared" si="67"/>
        <v>1165</v>
      </c>
      <c r="B1258" s="4"/>
      <c r="C1258" s="79" t="s">
        <v>370</v>
      </c>
      <c r="D1258" s="25"/>
      <c r="E1258" s="46"/>
      <c r="F1258" s="131">
        <v>100000</v>
      </c>
      <c r="G1258" s="131">
        <v>100000</v>
      </c>
      <c r="H1258" s="131">
        <v>100000</v>
      </c>
      <c r="I1258" s="207">
        <f t="shared" si="66"/>
        <v>1</v>
      </c>
      <c r="J1258" s="207">
        <f t="shared" si="68"/>
        <v>0.001492949398885714</v>
      </c>
    </row>
    <row r="1259" spans="1:10" ht="12.75">
      <c r="A1259" s="147">
        <f>A1258+1</f>
        <v>1166</v>
      </c>
      <c r="B1259" s="4">
        <v>6010</v>
      </c>
      <c r="C1259" s="103" t="s">
        <v>450</v>
      </c>
      <c r="D1259" s="25"/>
      <c r="E1259" s="46"/>
      <c r="F1259" s="131"/>
      <c r="G1259" s="131"/>
      <c r="H1259" s="131"/>
      <c r="I1259" s="207"/>
      <c r="J1259" s="207"/>
    </row>
    <row r="1260" spans="1:10" ht="12.75">
      <c r="A1260" s="147">
        <f t="shared" si="67"/>
        <v>1167</v>
      </c>
      <c r="B1260" s="4"/>
      <c r="C1260" s="103" t="s">
        <v>451</v>
      </c>
      <c r="D1260" s="25"/>
      <c r="E1260" s="46"/>
      <c r="F1260" s="131"/>
      <c r="G1260" s="131"/>
      <c r="H1260" s="131"/>
      <c r="I1260" s="207"/>
      <c r="J1260" s="207"/>
    </row>
    <row r="1261" spans="1:10" ht="12.75">
      <c r="A1261" s="147">
        <f t="shared" si="67"/>
        <v>1168</v>
      </c>
      <c r="B1261" s="4"/>
      <c r="C1261" s="79" t="s">
        <v>452</v>
      </c>
      <c r="D1261" s="25"/>
      <c r="E1261" s="46"/>
      <c r="F1261" s="131"/>
      <c r="G1261" s="131"/>
      <c r="H1261" s="131"/>
      <c r="I1261" s="207"/>
      <c r="J1261" s="207"/>
    </row>
    <row r="1262" spans="1:10" ht="12.75">
      <c r="A1262" s="147">
        <f t="shared" si="67"/>
        <v>1169</v>
      </c>
      <c r="B1262" s="4"/>
      <c r="C1262" s="79" t="s">
        <v>635</v>
      </c>
      <c r="D1262" s="25"/>
      <c r="E1262" s="46"/>
      <c r="F1262" s="131"/>
      <c r="G1262" s="131"/>
      <c r="H1262" s="131"/>
      <c r="I1262" s="207"/>
      <c r="J1262" s="207"/>
    </row>
    <row r="1263" spans="1:10" ht="12.75">
      <c r="A1263" s="147">
        <f t="shared" si="67"/>
        <v>1170</v>
      </c>
      <c r="B1263" s="4"/>
      <c r="C1263" s="79" t="s">
        <v>637</v>
      </c>
      <c r="D1263" s="25"/>
      <c r="E1263" s="46"/>
      <c r="F1263" s="131"/>
      <c r="G1263" s="131"/>
      <c r="H1263" s="131"/>
      <c r="I1263" s="207"/>
      <c r="J1263" s="207"/>
    </row>
    <row r="1264" spans="1:10" ht="12.75">
      <c r="A1264" s="147">
        <f t="shared" si="67"/>
        <v>1171</v>
      </c>
      <c r="B1264" s="4"/>
      <c r="C1264" s="79" t="s">
        <v>636</v>
      </c>
      <c r="D1264" s="25"/>
      <c r="E1264" s="46"/>
      <c r="F1264" s="131">
        <v>0</v>
      </c>
      <c r="G1264" s="131">
        <v>0</v>
      </c>
      <c r="H1264" s="131">
        <v>500000</v>
      </c>
      <c r="I1264" s="207"/>
      <c r="J1264" s="207">
        <f>H1264/$H$1431</f>
        <v>0.00746474699442857</v>
      </c>
    </row>
    <row r="1265" spans="1:10" ht="12.75">
      <c r="A1265" s="147"/>
      <c r="B1265" s="4"/>
      <c r="C1265" s="79"/>
      <c r="D1265" s="25"/>
      <c r="E1265" s="46"/>
      <c r="F1265" s="131"/>
      <c r="G1265" s="131"/>
      <c r="H1265" s="131"/>
      <c r="I1265" s="207"/>
      <c r="J1265" s="207"/>
    </row>
    <row r="1266" spans="1:10" s="73" customFormat="1" ht="12.75">
      <c r="A1266" s="147">
        <f>A1264+1</f>
        <v>1172</v>
      </c>
      <c r="B1266" s="62">
        <v>90004</v>
      </c>
      <c r="C1266" s="68" t="s">
        <v>118</v>
      </c>
      <c r="D1266" s="63"/>
      <c r="E1266" s="64">
        <f>E1267+E1268+E1271</f>
        <v>278300</v>
      </c>
      <c r="F1266" s="63">
        <f>+F1267+F1268+F1270+F1271+F1278</f>
        <v>699000</v>
      </c>
      <c r="G1266" s="63">
        <f>+G1267+G1268+G1270+G1271+G1278</f>
        <v>698323.72</v>
      </c>
      <c r="H1266" s="63">
        <f>+H1267+H1268+H1270+H1271+H1278</f>
        <v>1000000</v>
      </c>
      <c r="I1266" s="207">
        <f t="shared" si="66"/>
        <v>1.4320006199989885</v>
      </c>
      <c r="J1266" s="207">
        <f>H1266/$H$1431</f>
        <v>0.01492949398885714</v>
      </c>
    </row>
    <row r="1267" spans="1:10" s="19" customFormat="1" ht="15" customHeight="1">
      <c r="A1267" s="147">
        <f t="shared" si="67"/>
        <v>1173</v>
      </c>
      <c r="B1267" s="14">
        <v>4210</v>
      </c>
      <c r="C1267" s="79" t="s">
        <v>132</v>
      </c>
      <c r="D1267" s="25"/>
      <c r="E1267" s="46">
        <v>50000</v>
      </c>
      <c r="F1267" s="131">
        <v>15000</v>
      </c>
      <c r="G1267" s="131">
        <v>15000</v>
      </c>
      <c r="H1267" s="131">
        <v>20000</v>
      </c>
      <c r="I1267" s="207">
        <f t="shared" si="66"/>
        <v>1.3333333333333333</v>
      </c>
      <c r="J1267" s="207">
        <f>H1267/$H$1431</f>
        <v>0.00029858987977714283</v>
      </c>
    </row>
    <row r="1268" spans="1:10" s="32" customFormat="1" ht="15" customHeight="1">
      <c r="A1268" s="147">
        <f t="shared" si="67"/>
        <v>1174</v>
      </c>
      <c r="B1268" s="14">
        <v>4260</v>
      </c>
      <c r="C1268" s="116" t="s">
        <v>134</v>
      </c>
      <c r="D1268" s="25"/>
      <c r="E1268" s="46">
        <v>5300</v>
      </c>
      <c r="F1268" s="131">
        <v>1000</v>
      </c>
      <c r="G1268" s="131">
        <v>1000</v>
      </c>
      <c r="H1268" s="131">
        <v>6000</v>
      </c>
      <c r="I1268" s="207">
        <f t="shared" si="66"/>
        <v>6</v>
      </c>
      <c r="J1268" s="207">
        <f>H1268/$H$1431</f>
        <v>8.957696393314284E-05</v>
      </c>
    </row>
    <row r="1269" spans="1:10" s="32" customFormat="1" ht="15" customHeight="1">
      <c r="A1269" s="147">
        <f t="shared" si="67"/>
        <v>1175</v>
      </c>
      <c r="B1269" s="14">
        <v>4270</v>
      </c>
      <c r="C1269" s="116" t="s">
        <v>587</v>
      </c>
      <c r="D1269" s="25"/>
      <c r="E1269" s="46"/>
      <c r="G1269" s="14"/>
      <c r="H1269" s="14"/>
      <c r="I1269" s="207"/>
      <c r="J1269" s="207">
        <f>H1270/$H$1431</f>
        <v>0.0004478848196657142</v>
      </c>
    </row>
    <row r="1270" spans="1:10" s="32" customFormat="1" ht="15" customHeight="1">
      <c r="A1270" s="147">
        <f t="shared" si="67"/>
        <v>1176</v>
      </c>
      <c r="B1270" s="14"/>
      <c r="C1270" s="116" t="s">
        <v>588</v>
      </c>
      <c r="D1270" s="25"/>
      <c r="E1270" s="46"/>
      <c r="F1270" s="131">
        <v>9000</v>
      </c>
      <c r="G1270" s="131">
        <v>9000</v>
      </c>
      <c r="H1270" s="131">
        <v>30000</v>
      </c>
      <c r="I1270" s="207">
        <f t="shared" si="66"/>
        <v>3.3333333333333335</v>
      </c>
      <c r="J1270" s="207">
        <f>H1270/$H$1431</f>
        <v>0.0004478848196657142</v>
      </c>
    </row>
    <row r="1271" spans="1:10" ht="15" customHeight="1">
      <c r="A1271" s="147">
        <f t="shared" si="67"/>
        <v>1177</v>
      </c>
      <c r="B1271" s="4">
        <v>4300</v>
      </c>
      <c r="C1271" s="79" t="s">
        <v>130</v>
      </c>
      <c r="D1271" s="25"/>
      <c r="E1271" s="47">
        <f>SUM(E1273:E1276)</f>
        <v>223000</v>
      </c>
      <c r="F1271" s="23">
        <f>SUM(F1273:F1277)</f>
        <v>187100</v>
      </c>
      <c r="G1271" s="23">
        <f>SUM(G1273:G1277)</f>
        <v>187100</v>
      </c>
      <c r="H1271" s="23">
        <f>SUM(H1273:H1277)</f>
        <v>889000</v>
      </c>
      <c r="I1271" s="207">
        <f t="shared" si="66"/>
        <v>4.751469802244789</v>
      </c>
      <c r="J1271" s="207">
        <f>H1271/$H$1431</f>
        <v>0.013272320156093998</v>
      </c>
    </row>
    <row r="1272" spans="1:10" ht="15" customHeight="1">
      <c r="A1272" s="147">
        <f t="shared" si="67"/>
        <v>1178</v>
      </c>
      <c r="B1272" s="4"/>
      <c r="C1272" s="79" t="s">
        <v>15</v>
      </c>
      <c r="D1272" s="25"/>
      <c r="E1272" s="46"/>
      <c r="F1272" s="131"/>
      <c r="G1272" s="131"/>
      <c r="H1272" s="131"/>
      <c r="I1272" s="207"/>
      <c r="J1272" s="207"/>
    </row>
    <row r="1273" spans="1:10" ht="15" customHeight="1">
      <c r="A1273" s="147">
        <f t="shared" si="67"/>
        <v>1179</v>
      </c>
      <c r="B1273" s="4"/>
      <c r="C1273" s="79" t="s">
        <v>20</v>
      </c>
      <c r="D1273" s="25"/>
      <c r="E1273" s="46">
        <v>200000</v>
      </c>
      <c r="F1273" s="131">
        <v>100000</v>
      </c>
      <c r="G1273" s="131">
        <v>100000</v>
      </c>
      <c r="H1273" s="131">
        <v>100000</v>
      </c>
      <c r="I1273" s="207">
        <f t="shared" si="66"/>
        <v>1</v>
      </c>
      <c r="J1273" s="207">
        <f aca="true" t="shared" si="69" ref="J1273:J1278">H1273/$H$1431</f>
        <v>0.001492949398885714</v>
      </c>
    </row>
    <row r="1274" spans="1:10" ht="15" customHeight="1">
      <c r="A1274" s="147">
        <f t="shared" si="67"/>
        <v>1180</v>
      </c>
      <c r="B1274" s="4"/>
      <c r="C1274" s="79" t="s">
        <v>24</v>
      </c>
      <c r="D1274" s="25"/>
      <c r="E1274" s="46">
        <v>20000</v>
      </c>
      <c r="F1274" s="131">
        <v>60000</v>
      </c>
      <c r="G1274" s="131">
        <v>60000</v>
      </c>
      <c r="H1274" s="131">
        <v>100000</v>
      </c>
      <c r="I1274" s="207">
        <f t="shared" si="66"/>
        <v>1.6666666666666667</v>
      </c>
      <c r="J1274" s="207">
        <f t="shared" si="69"/>
        <v>0.001492949398885714</v>
      </c>
    </row>
    <row r="1275" spans="1:10" ht="15" customHeight="1">
      <c r="A1275" s="147">
        <f t="shared" si="67"/>
        <v>1181</v>
      </c>
      <c r="B1275" s="4"/>
      <c r="C1275" s="79" t="s">
        <v>173</v>
      </c>
      <c r="D1275" s="25"/>
      <c r="E1275" s="46">
        <v>2000</v>
      </c>
      <c r="F1275" s="131">
        <v>13100</v>
      </c>
      <c r="G1275" s="131">
        <v>13100</v>
      </c>
      <c r="H1275" s="131">
        <v>0</v>
      </c>
      <c r="I1275" s="207">
        <f t="shared" si="66"/>
        <v>0</v>
      </c>
      <c r="J1275" s="207">
        <f t="shared" si="69"/>
        <v>0</v>
      </c>
    </row>
    <row r="1276" spans="1:10" ht="15" customHeight="1">
      <c r="A1276" s="147">
        <f t="shared" si="67"/>
        <v>1182</v>
      </c>
      <c r="B1276" s="4"/>
      <c r="C1276" s="79" t="s">
        <v>19</v>
      </c>
      <c r="D1276" s="25"/>
      <c r="E1276" s="46">
        <v>1000</v>
      </c>
      <c r="F1276" s="131">
        <v>14000</v>
      </c>
      <c r="G1276" s="131">
        <v>14000</v>
      </c>
      <c r="H1276" s="131">
        <v>30000</v>
      </c>
      <c r="I1276" s="207">
        <f t="shared" si="66"/>
        <v>2.142857142857143</v>
      </c>
      <c r="J1276" s="207">
        <f t="shared" si="69"/>
        <v>0.0004478848196657142</v>
      </c>
    </row>
    <row r="1277" spans="1:10" ht="15" customHeight="1">
      <c r="A1277" s="147">
        <f t="shared" si="67"/>
        <v>1183</v>
      </c>
      <c r="B1277" s="4"/>
      <c r="C1277" s="79" t="s">
        <v>689</v>
      </c>
      <c r="D1277" s="25"/>
      <c r="E1277" s="46"/>
      <c r="F1277" s="131">
        <v>0</v>
      </c>
      <c r="G1277" s="131">
        <v>0</v>
      </c>
      <c r="H1277" s="131">
        <v>659000</v>
      </c>
      <c r="I1277" s="207"/>
      <c r="J1277" s="207">
        <f t="shared" si="69"/>
        <v>0.009838536538656855</v>
      </c>
    </row>
    <row r="1278" spans="1:10" ht="15" customHeight="1">
      <c r="A1278" s="147">
        <f t="shared" si="67"/>
        <v>1184</v>
      </c>
      <c r="B1278" s="4">
        <v>6050</v>
      </c>
      <c r="C1278" s="79" t="s">
        <v>182</v>
      </c>
      <c r="D1278" s="25"/>
      <c r="E1278" s="46"/>
      <c r="F1278" s="131">
        <f>SUM(F1280:F1282)</f>
        <v>486900</v>
      </c>
      <c r="G1278" s="131">
        <f>SUM(G1280:G1282)</f>
        <v>486223.72</v>
      </c>
      <c r="H1278" s="131">
        <f>SUM(H1280:H1282)</f>
        <v>55000</v>
      </c>
      <c r="I1278" s="207">
        <f t="shared" si="66"/>
        <v>0.11311665337923045</v>
      </c>
      <c r="J1278" s="207">
        <f t="shared" si="69"/>
        <v>0.0008211221693871427</v>
      </c>
    </row>
    <row r="1279" spans="1:10" ht="15" customHeight="1">
      <c r="A1279" s="147">
        <f t="shared" si="67"/>
        <v>1185</v>
      </c>
      <c r="B1279" s="4"/>
      <c r="C1279" s="79" t="s">
        <v>15</v>
      </c>
      <c r="D1279" s="25"/>
      <c r="E1279" s="46"/>
      <c r="F1279" s="131"/>
      <c r="G1279" s="131"/>
      <c r="H1279" s="131"/>
      <c r="I1279" s="207"/>
      <c r="J1279" s="207"/>
    </row>
    <row r="1280" spans="1:10" ht="15" customHeight="1">
      <c r="A1280" s="147">
        <f t="shared" si="67"/>
        <v>1186</v>
      </c>
      <c r="B1280" s="4"/>
      <c r="C1280" s="79" t="s">
        <v>569</v>
      </c>
      <c r="D1280" s="25"/>
      <c r="E1280" s="46"/>
      <c r="F1280" s="131">
        <v>461900</v>
      </c>
      <c r="G1280" s="131">
        <v>461823.72</v>
      </c>
      <c r="H1280" s="131">
        <v>0</v>
      </c>
      <c r="I1280" s="207">
        <f t="shared" si="66"/>
        <v>0</v>
      </c>
      <c r="J1280" s="207">
        <f aca="true" t="shared" si="70" ref="J1280:J1294">H1280/$H$1431</f>
        <v>0</v>
      </c>
    </row>
    <row r="1281" spans="1:10" ht="15" customHeight="1">
      <c r="A1281" s="147">
        <f t="shared" si="67"/>
        <v>1187</v>
      </c>
      <c r="B1281" s="4"/>
      <c r="C1281" s="79" t="s">
        <v>570</v>
      </c>
      <c r="D1281" s="25"/>
      <c r="E1281" s="46"/>
      <c r="F1281" s="131"/>
      <c r="G1281" s="131"/>
      <c r="H1281" s="131"/>
      <c r="I1281" s="207"/>
      <c r="J1281" s="207"/>
    </row>
    <row r="1282" spans="1:10" ht="15" customHeight="1">
      <c r="A1282" s="147">
        <f t="shared" si="67"/>
        <v>1188</v>
      </c>
      <c r="B1282" s="4"/>
      <c r="C1282" s="79" t="s">
        <v>571</v>
      </c>
      <c r="D1282" s="25"/>
      <c r="E1282" s="46"/>
      <c r="F1282" s="131">
        <v>25000</v>
      </c>
      <c r="G1282" s="131">
        <v>24400</v>
      </c>
      <c r="H1282" s="131">
        <v>55000</v>
      </c>
      <c r="I1282" s="207">
        <f t="shared" si="66"/>
        <v>2.2540983606557377</v>
      </c>
      <c r="J1282" s="207">
        <f>H1282/$H$1431</f>
        <v>0.0008211221693871427</v>
      </c>
    </row>
    <row r="1283" spans="1:10" s="73" customFormat="1" ht="12.75">
      <c r="A1283" s="147">
        <f t="shared" si="67"/>
        <v>1189</v>
      </c>
      <c r="B1283" s="62">
        <v>90015</v>
      </c>
      <c r="C1283" s="68" t="s">
        <v>119</v>
      </c>
      <c r="D1283" s="63"/>
      <c r="E1283" s="64" t="e">
        <f>#REF!+E1285+E1290</f>
        <v>#REF!</v>
      </c>
      <c r="F1283" s="63">
        <f>+F1284+F1285+F1286+F1290+F1293</f>
        <v>397000</v>
      </c>
      <c r="G1283" s="63">
        <f>+G1284+G1285+G1286+G1290+G1293</f>
        <v>397000</v>
      </c>
      <c r="H1283" s="63">
        <f>+H1284+H1285+H1286+H1290+H1293</f>
        <v>1008254.72</v>
      </c>
      <c r="I1283" s="207">
        <f t="shared" si="66"/>
        <v>2.53968443324937</v>
      </c>
      <c r="J1283" s="207">
        <f t="shared" si="70"/>
        <v>0.015052732781476839</v>
      </c>
    </row>
    <row r="1284" spans="1:10" s="73" customFormat="1" ht="12.75">
      <c r="A1284" s="147">
        <f t="shared" si="67"/>
        <v>1190</v>
      </c>
      <c r="B1284" s="130">
        <v>4210</v>
      </c>
      <c r="C1284" s="40" t="s">
        <v>132</v>
      </c>
      <c r="D1284" s="63"/>
      <c r="E1284" s="64"/>
      <c r="F1284" s="131">
        <v>30000</v>
      </c>
      <c r="G1284" s="131">
        <v>30000</v>
      </c>
      <c r="H1284" s="131">
        <v>70000</v>
      </c>
      <c r="I1284" s="207">
        <f t="shared" si="66"/>
        <v>2.3333333333333335</v>
      </c>
      <c r="J1284" s="207">
        <f t="shared" si="70"/>
        <v>0.00104506457922</v>
      </c>
    </row>
    <row r="1285" spans="1:10" ht="12.75">
      <c r="A1285" s="147">
        <f t="shared" si="67"/>
        <v>1191</v>
      </c>
      <c r="B1285" s="4">
        <v>4260</v>
      </c>
      <c r="C1285" s="79" t="s">
        <v>181</v>
      </c>
      <c r="D1285" s="25"/>
      <c r="E1285" s="47" t="e">
        <f>#REF!</f>
        <v>#REF!</v>
      </c>
      <c r="F1285" s="140">
        <v>250000</v>
      </c>
      <c r="G1285" s="140">
        <v>250000</v>
      </c>
      <c r="H1285" s="140">
        <v>260000</v>
      </c>
      <c r="I1285" s="207">
        <f t="shared" si="66"/>
        <v>1.04</v>
      </c>
      <c r="J1285" s="207">
        <f t="shared" si="70"/>
        <v>0.0038816684371028565</v>
      </c>
    </row>
    <row r="1286" spans="1:10" ht="12.75">
      <c r="A1286" s="147">
        <f t="shared" si="67"/>
        <v>1192</v>
      </c>
      <c r="B1286" s="4">
        <v>4270</v>
      </c>
      <c r="C1286" s="79" t="s">
        <v>131</v>
      </c>
      <c r="D1286" s="25"/>
      <c r="E1286" s="47"/>
      <c r="F1286" s="140">
        <f>SUM(F1288:F1289)</f>
        <v>106000</v>
      </c>
      <c r="G1286" s="140">
        <f>SUM(G1288:G1289)</f>
        <v>106000</v>
      </c>
      <c r="H1286" s="140">
        <f>SUM(H1288:H1289)</f>
        <v>160000</v>
      </c>
      <c r="I1286" s="207">
        <f t="shared" si="66"/>
        <v>1.509433962264151</v>
      </c>
      <c r="J1286" s="207">
        <f t="shared" si="70"/>
        <v>0.0023887190382171426</v>
      </c>
    </row>
    <row r="1287" spans="1:10" ht="12.75">
      <c r="A1287" s="147">
        <f t="shared" si="67"/>
        <v>1193</v>
      </c>
      <c r="B1287" s="4"/>
      <c r="C1287" s="103" t="s">
        <v>15</v>
      </c>
      <c r="D1287" s="25"/>
      <c r="E1287" s="47"/>
      <c r="F1287" s="140"/>
      <c r="G1287" s="140"/>
      <c r="H1287" s="140"/>
      <c r="I1287" s="207"/>
      <c r="J1287" s="207"/>
    </row>
    <row r="1288" spans="1:10" ht="12.75">
      <c r="A1288" s="147">
        <f t="shared" si="67"/>
        <v>1194</v>
      </c>
      <c r="B1288" s="4"/>
      <c r="C1288" s="79" t="s">
        <v>589</v>
      </c>
      <c r="D1288" s="25"/>
      <c r="E1288" s="47"/>
      <c r="F1288" s="140">
        <v>106000</v>
      </c>
      <c r="G1288" s="140">
        <v>106000</v>
      </c>
      <c r="H1288" s="140">
        <v>150000</v>
      </c>
      <c r="I1288" s="207">
        <f t="shared" si="66"/>
        <v>1.4150943396226414</v>
      </c>
      <c r="J1288" s="207">
        <f>H1288/$H$1431</f>
        <v>0.0022394240983285713</v>
      </c>
    </row>
    <row r="1289" spans="1:10" ht="12.75">
      <c r="A1289" s="147">
        <f t="shared" si="67"/>
        <v>1195</v>
      </c>
      <c r="B1289" s="4"/>
      <c r="C1289" s="79" t="s">
        <v>590</v>
      </c>
      <c r="D1289" s="25"/>
      <c r="E1289" s="47"/>
      <c r="F1289" s="140">
        <v>0</v>
      </c>
      <c r="G1289" s="140">
        <v>0</v>
      </c>
      <c r="H1289" s="140">
        <v>10000</v>
      </c>
      <c r="I1289" s="207"/>
      <c r="J1289" s="207">
        <f>H1289/$H$1431</f>
        <v>0.00014929493988857142</v>
      </c>
    </row>
    <row r="1290" spans="1:10" ht="12.75">
      <c r="A1290" s="147">
        <f t="shared" si="67"/>
        <v>1196</v>
      </c>
      <c r="B1290" s="4">
        <v>4300</v>
      </c>
      <c r="C1290" s="79" t="s">
        <v>130</v>
      </c>
      <c r="D1290" s="25"/>
      <c r="E1290" s="47" t="e">
        <f>SUM(#REF!)</f>
        <v>#REF!</v>
      </c>
      <c r="F1290" s="140">
        <v>11000</v>
      </c>
      <c r="G1290" s="140">
        <v>11000</v>
      </c>
      <c r="H1290" s="140">
        <v>15000</v>
      </c>
      <c r="I1290" s="207">
        <f t="shared" si="66"/>
        <v>1.3636363636363635</v>
      </c>
      <c r="J1290" s="207">
        <f t="shared" si="70"/>
        <v>0.0002239424098328571</v>
      </c>
    </row>
    <row r="1291" spans="1:10" ht="12.75">
      <c r="A1291" s="147">
        <f t="shared" si="67"/>
        <v>1197</v>
      </c>
      <c r="B1291" s="4">
        <v>6050</v>
      </c>
      <c r="C1291" s="79" t="s">
        <v>673</v>
      </c>
      <c r="D1291" s="25"/>
      <c r="E1291" s="96"/>
      <c r="F1291" s="140"/>
      <c r="G1291" s="140"/>
      <c r="H1291" s="140"/>
      <c r="I1291" s="207"/>
      <c r="J1291" s="207"/>
    </row>
    <row r="1292" spans="1:10" ht="12.75">
      <c r="A1292" s="147">
        <f t="shared" si="67"/>
        <v>1198</v>
      </c>
      <c r="B1292" s="4"/>
      <c r="C1292" s="79" t="s">
        <v>674</v>
      </c>
      <c r="D1292" s="25"/>
      <c r="E1292" s="96"/>
      <c r="F1292" s="140"/>
      <c r="G1292" s="140"/>
      <c r="H1292" s="140"/>
      <c r="I1292" s="207"/>
      <c r="J1292" s="207"/>
    </row>
    <row r="1293" spans="1:10" ht="12.75">
      <c r="A1293" s="147">
        <f t="shared" si="67"/>
        <v>1199</v>
      </c>
      <c r="B1293" s="4"/>
      <c r="C1293" s="79" t="s">
        <v>681</v>
      </c>
      <c r="D1293" s="25"/>
      <c r="E1293" s="96"/>
      <c r="F1293" s="140">
        <v>0</v>
      </c>
      <c r="G1293" s="140">
        <v>0</v>
      </c>
      <c r="H1293" s="140">
        <f>500000+3254.72</f>
        <v>503254.72</v>
      </c>
      <c r="I1293" s="207"/>
      <c r="J1293" s="207">
        <f t="shared" si="70"/>
        <v>0.007513338317103983</v>
      </c>
    </row>
    <row r="1294" spans="1:10" s="73" customFormat="1" ht="12.75">
      <c r="A1294" s="147">
        <f t="shared" si="67"/>
        <v>1200</v>
      </c>
      <c r="B1294" s="62">
        <v>90017</v>
      </c>
      <c r="C1294" s="68" t="s">
        <v>170</v>
      </c>
      <c r="D1294" s="63"/>
      <c r="E1294" s="72">
        <f>E1296</f>
        <v>0</v>
      </c>
      <c r="F1294" s="138">
        <f>+F1296+F1300</f>
        <v>913460</v>
      </c>
      <c r="G1294" s="138">
        <f>+G1296+G1300</f>
        <v>913460</v>
      </c>
      <c r="H1294" s="138">
        <f>+H1296+H1300</f>
        <v>827500</v>
      </c>
      <c r="I1294" s="207">
        <f t="shared" si="66"/>
        <v>0.9058962625621264</v>
      </c>
      <c r="J1294" s="207">
        <f t="shared" si="70"/>
        <v>0.012354156275779285</v>
      </c>
    </row>
    <row r="1295" spans="1:10" ht="12.75">
      <c r="A1295" s="147">
        <f t="shared" si="67"/>
        <v>1201</v>
      </c>
      <c r="B1295" s="4">
        <v>2650</v>
      </c>
      <c r="C1295" s="79" t="s">
        <v>149</v>
      </c>
      <c r="D1295" s="25"/>
      <c r="E1295" s="46"/>
      <c r="F1295" s="131"/>
      <c r="G1295" s="131"/>
      <c r="H1295" s="131"/>
      <c r="I1295" s="207"/>
      <c r="J1295" s="207"/>
    </row>
    <row r="1296" spans="1:10" ht="12.75">
      <c r="A1296" s="147">
        <f t="shared" si="67"/>
        <v>1202</v>
      </c>
      <c r="B1296" s="4"/>
      <c r="C1296" s="79" t="s">
        <v>284</v>
      </c>
      <c r="D1296" s="25"/>
      <c r="E1296" s="46">
        <v>0</v>
      </c>
      <c r="F1296" s="131">
        <f>SUM(F1298:F1299)</f>
        <v>113460</v>
      </c>
      <c r="G1296" s="131">
        <f>SUM(G1298:G1299)</f>
        <v>113460</v>
      </c>
      <c r="H1296" s="131">
        <f>SUM(H1298:H1299)</f>
        <v>87500</v>
      </c>
      <c r="I1296" s="207">
        <f>H1296/G1296</f>
        <v>0.771196897585052</v>
      </c>
      <c r="J1296" s="207">
        <f>H1296/$H$1431</f>
        <v>0.0013063307240249998</v>
      </c>
    </row>
    <row r="1297" spans="1:10" ht="12.75">
      <c r="A1297" s="147">
        <f t="shared" si="67"/>
        <v>1203</v>
      </c>
      <c r="B1297" s="4"/>
      <c r="C1297" s="79" t="s">
        <v>15</v>
      </c>
      <c r="D1297" s="25"/>
      <c r="E1297" s="46"/>
      <c r="F1297" s="131"/>
      <c r="G1297" s="131"/>
      <c r="H1297" s="131"/>
      <c r="I1297" s="207"/>
      <c r="J1297" s="207"/>
    </row>
    <row r="1298" spans="1:10" ht="12.75">
      <c r="A1298" s="147">
        <f t="shared" si="67"/>
        <v>1204</v>
      </c>
      <c r="B1298" s="4"/>
      <c r="C1298" s="79" t="s">
        <v>633</v>
      </c>
      <c r="D1298" s="25"/>
      <c r="E1298" s="46"/>
      <c r="F1298" s="131">
        <v>113460</v>
      </c>
      <c r="G1298" s="131">
        <v>113460</v>
      </c>
      <c r="H1298" s="131">
        <v>37500</v>
      </c>
      <c r="I1298" s="207">
        <f>H1298/G1298</f>
        <v>0.33051295610787945</v>
      </c>
      <c r="J1298" s="207">
        <f>H1298/$H$1431</f>
        <v>0.0005598560245821428</v>
      </c>
    </row>
    <row r="1299" spans="1:10" ht="12.75">
      <c r="A1299" s="147">
        <f t="shared" si="67"/>
        <v>1205</v>
      </c>
      <c r="B1299" s="4"/>
      <c r="C1299" s="79" t="s">
        <v>634</v>
      </c>
      <c r="D1299" s="25"/>
      <c r="E1299" s="46"/>
      <c r="F1299" s="131">
        <v>0</v>
      </c>
      <c r="G1299" s="131">
        <v>0</v>
      </c>
      <c r="H1299" s="131">
        <v>50000</v>
      </c>
      <c r="I1299" s="207"/>
      <c r="J1299" s="207">
        <f>H1299/$H$1431</f>
        <v>0.000746474699442857</v>
      </c>
    </row>
    <row r="1300" spans="1:10" ht="12.75">
      <c r="A1300" s="147">
        <f t="shared" si="67"/>
        <v>1206</v>
      </c>
      <c r="B1300" s="4">
        <v>6210</v>
      </c>
      <c r="C1300" s="79" t="s">
        <v>188</v>
      </c>
      <c r="D1300" s="25"/>
      <c r="E1300" s="46"/>
      <c r="F1300" s="131">
        <f>SUM(F1302:F1308)</f>
        <v>800000</v>
      </c>
      <c r="G1300" s="131">
        <f>SUM(G1302:G1308)</f>
        <v>800000</v>
      </c>
      <c r="H1300" s="131">
        <f>SUM(H1302:H1308)</f>
        <v>740000</v>
      </c>
      <c r="I1300" s="207">
        <f>H1300/G1300</f>
        <v>0.925</v>
      </c>
      <c r="J1300" s="207">
        <f>H1300/$H$1431</f>
        <v>0.011047825551754284</v>
      </c>
    </row>
    <row r="1301" spans="1:10" ht="12.75">
      <c r="A1301" s="147">
        <f t="shared" si="67"/>
        <v>1207</v>
      </c>
      <c r="B1301" s="4"/>
      <c r="C1301" s="79" t="s">
        <v>15</v>
      </c>
      <c r="D1301" s="25"/>
      <c r="E1301" s="46"/>
      <c r="F1301" s="131"/>
      <c r="G1301" s="131"/>
      <c r="H1301" s="131"/>
      <c r="I1301" s="207"/>
      <c r="J1301" s="207"/>
    </row>
    <row r="1302" spans="1:10" ht="12.75">
      <c r="A1302" s="147">
        <f t="shared" si="67"/>
        <v>1208</v>
      </c>
      <c r="B1302" s="4"/>
      <c r="C1302" s="79" t="s">
        <v>522</v>
      </c>
      <c r="D1302" s="25"/>
      <c r="E1302" s="46"/>
      <c r="F1302" s="131">
        <v>200000</v>
      </c>
      <c r="G1302" s="131">
        <v>200000</v>
      </c>
      <c r="H1302" s="131">
        <v>0</v>
      </c>
      <c r="I1302" s="207">
        <f>H1302/G1302</f>
        <v>0</v>
      </c>
      <c r="J1302" s="207">
        <f>H1302/$H$1431</f>
        <v>0</v>
      </c>
    </row>
    <row r="1303" spans="1:10" ht="12.75">
      <c r="A1303" s="147">
        <f t="shared" si="67"/>
        <v>1209</v>
      </c>
      <c r="B1303" s="4"/>
      <c r="C1303" s="79" t="s">
        <v>521</v>
      </c>
      <c r="D1303" s="25"/>
      <c r="E1303" s="46"/>
      <c r="F1303" s="131">
        <v>264874.61</v>
      </c>
      <c r="G1303" s="131">
        <v>264874.61</v>
      </c>
      <c r="H1303" s="131">
        <v>0</v>
      </c>
      <c r="I1303" s="207">
        <f>H1303/G1303</f>
        <v>0</v>
      </c>
      <c r="J1303" s="207">
        <f>H1303/$H$1431</f>
        <v>0</v>
      </c>
    </row>
    <row r="1304" spans="1:10" ht="12.75">
      <c r="A1304" s="147">
        <f t="shared" si="67"/>
        <v>1210</v>
      </c>
      <c r="B1304" s="4"/>
      <c r="C1304" s="79" t="s">
        <v>564</v>
      </c>
      <c r="D1304" s="25"/>
      <c r="E1304" s="46"/>
      <c r="F1304" s="131">
        <v>335125.39</v>
      </c>
      <c r="G1304" s="131">
        <v>335125.39</v>
      </c>
      <c r="H1304" s="131">
        <v>0</v>
      </c>
      <c r="I1304" s="207">
        <f>H1304/G1304</f>
        <v>0</v>
      </c>
      <c r="J1304" s="207">
        <f>H1304/$H$1431</f>
        <v>0</v>
      </c>
    </row>
    <row r="1305" spans="1:10" ht="12.75">
      <c r="A1305" s="147">
        <f t="shared" si="67"/>
        <v>1211</v>
      </c>
      <c r="B1305" s="4"/>
      <c r="C1305" s="79" t="s">
        <v>712</v>
      </c>
      <c r="D1305" s="25"/>
      <c r="E1305" s="46"/>
      <c r="F1305" s="131"/>
      <c r="G1305" s="131"/>
      <c r="H1305" s="131"/>
      <c r="I1305" s="207"/>
      <c r="J1305" s="207"/>
    </row>
    <row r="1306" spans="1:10" ht="12.75">
      <c r="A1306" s="147">
        <f t="shared" si="67"/>
        <v>1212</v>
      </c>
      <c r="B1306" s="4"/>
      <c r="C1306" s="79" t="s">
        <v>717</v>
      </c>
      <c r="D1306" s="25"/>
      <c r="E1306" s="46"/>
      <c r="F1306" s="131"/>
      <c r="G1306" s="131"/>
      <c r="H1306" s="131"/>
      <c r="I1306" s="207"/>
      <c r="J1306" s="207"/>
    </row>
    <row r="1307" spans="1:10" ht="12.75">
      <c r="A1307" s="147">
        <f t="shared" si="67"/>
        <v>1213</v>
      </c>
      <c r="B1307" s="4"/>
      <c r="C1307" s="79" t="s">
        <v>713</v>
      </c>
      <c r="D1307" s="25"/>
      <c r="E1307" s="46"/>
      <c r="F1307" s="131"/>
      <c r="G1307" s="131"/>
      <c r="H1307" s="131"/>
      <c r="I1307" s="207"/>
      <c r="J1307" s="207"/>
    </row>
    <row r="1308" spans="1:10" ht="12.75">
      <c r="A1308" s="147">
        <f t="shared" si="67"/>
        <v>1214</v>
      </c>
      <c r="B1308" s="4"/>
      <c r="C1308" s="79" t="s">
        <v>714</v>
      </c>
      <c r="D1308" s="25"/>
      <c r="E1308" s="46"/>
      <c r="F1308" s="131">
        <v>0</v>
      </c>
      <c r="G1308" s="131">
        <v>0</v>
      </c>
      <c r="H1308" s="131">
        <v>740000</v>
      </c>
      <c r="I1308" s="207"/>
      <c r="J1308" s="207">
        <f>H1308/$H$1431</f>
        <v>0.011047825551754284</v>
      </c>
    </row>
    <row r="1309" spans="1:10" s="73" customFormat="1" ht="12.75">
      <c r="A1309" s="147">
        <f t="shared" si="67"/>
        <v>1215</v>
      </c>
      <c r="B1309" s="62">
        <v>90095</v>
      </c>
      <c r="C1309" s="68" t="s">
        <v>25</v>
      </c>
      <c r="D1309" s="63"/>
      <c r="E1309" s="64" t="e">
        <f>E1318+#REF!</f>
        <v>#REF!</v>
      </c>
      <c r="F1309" s="63">
        <f>+F1315+F1316+F1317+F1318+F1332+F1333+F1344+F1350+F1360+F1365</f>
        <v>7280186</v>
      </c>
      <c r="G1309" s="63">
        <f>+G1315+G1316+G1317+G1318+G1332+G1333+G1344+G1350+G1360+G1365</f>
        <v>3496896.52</v>
      </c>
      <c r="H1309" s="63">
        <f>+H1315+H1316+H1317+H1318+H1332+H1333+H1344+H1350+H1360+H1365</f>
        <v>6083000</v>
      </c>
      <c r="I1309" s="207">
        <f>H1309/G1309</f>
        <v>1.7395424672160444</v>
      </c>
      <c r="J1309" s="207">
        <f>H1309/$H$1431</f>
        <v>0.09081611193421799</v>
      </c>
    </row>
    <row r="1310" spans="1:10" s="174" customFormat="1" ht="12.75">
      <c r="A1310" s="147">
        <f t="shared" si="67"/>
        <v>1216</v>
      </c>
      <c r="B1310" s="176">
        <v>2310</v>
      </c>
      <c r="C1310" s="40" t="s">
        <v>323</v>
      </c>
      <c r="D1310" s="137"/>
      <c r="E1310" s="129"/>
      <c r="F1310" s="173"/>
      <c r="G1310" s="173"/>
      <c r="H1310" s="173"/>
      <c r="I1310" s="207"/>
      <c r="J1310" s="207"/>
    </row>
    <row r="1311" spans="1:10" s="174" customFormat="1" ht="12.75">
      <c r="A1311" s="147">
        <f t="shared" si="67"/>
        <v>1217</v>
      </c>
      <c r="B1311" s="175"/>
      <c r="C1311" s="40" t="s">
        <v>324</v>
      </c>
      <c r="D1311" s="137"/>
      <c r="E1311" s="129"/>
      <c r="F1311" s="173"/>
      <c r="G1311" s="173"/>
      <c r="H1311" s="173"/>
      <c r="I1311" s="207"/>
      <c r="J1311" s="207"/>
    </row>
    <row r="1312" spans="1:10" s="174" customFormat="1" ht="12.75">
      <c r="A1312" s="147">
        <f aca="true" t="shared" si="71" ref="A1312:A1375">A1311+1</f>
        <v>1218</v>
      </c>
      <c r="B1312" s="175"/>
      <c r="C1312" s="40" t="s">
        <v>325</v>
      </c>
      <c r="D1312" s="137"/>
      <c r="E1312" s="129"/>
      <c r="F1312" s="173"/>
      <c r="G1312" s="173"/>
      <c r="H1312" s="173"/>
      <c r="I1312" s="207"/>
      <c r="J1312" s="207"/>
    </row>
    <row r="1313" spans="1:10" s="174" customFormat="1" ht="12.75">
      <c r="A1313" s="147">
        <f t="shared" si="71"/>
        <v>1219</v>
      </c>
      <c r="B1313" s="175"/>
      <c r="C1313" s="40" t="s">
        <v>326</v>
      </c>
      <c r="D1313" s="137"/>
      <c r="E1313" s="129"/>
      <c r="F1313" s="173"/>
      <c r="G1313" s="173"/>
      <c r="H1313" s="173"/>
      <c r="I1313" s="207"/>
      <c r="J1313" s="207"/>
    </row>
    <row r="1314" spans="1:10" s="174" customFormat="1" ht="12.75">
      <c r="A1314" s="147">
        <f t="shared" si="71"/>
        <v>1220</v>
      </c>
      <c r="B1314" s="175"/>
      <c r="C1314" s="40" t="s">
        <v>327</v>
      </c>
      <c r="D1314" s="137"/>
      <c r="E1314" s="129"/>
      <c r="F1314" s="173"/>
      <c r="G1314" s="173"/>
      <c r="H1314" s="173"/>
      <c r="I1314" s="207"/>
      <c r="J1314" s="207"/>
    </row>
    <row r="1315" spans="1:10" s="174" customFormat="1" ht="12.75">
      <c r="A1315" s="147">
        <f t="shared" si="71"/>
        <v>1221</v>
      </c>
      <c r="B1315" s="175"/>
      <c r="C1315" s="40" t="s">
        <v>328</v>
      </c>
      <c r="D1315" s="137"/>
      <c r="E1315" s="129"/>
      <c r="F1315" s="173">
        <v>27000</v>
      </c>
      <c r="G1315" s="173">
        <v>27000</v>
      </c>
      <c r="H1315" s="173">
        <v>28000</v>
      </c>
      <c r="I1315" s="207">
        <f>H1315/G1315</f>
        <v>1.037037037037037</v>
      </c>
      <c r="J1315" s="207">
        <f>H1315/$H$1431</f>
        <v>0.0004180258316879999</v>
      </c>
    </row>
    <row r="1316" spans="1:10" s="174" customFormat="1" ht="12.75">
      <c r="A1316" s="147">
        <f t="shared" si="71"/>
        <v>1222</v>
      </c>
      <c r="B1316" s="201">
        <v>4210</v>
      </c>
      <c r="C1316" s="40" t="s">
        <v>132</v>
      </c>
      <c r="D1316" s="137"/>
      <c r="E1316" s="129"/>
      <c r="F1316" s="173">
        <v>5400</v>
      </c>
      <c r="G1316" s="173">
        <v>5375</v>
      </c>
      <c r="H1316" s="173">
        <v>0</v>
      </c>
      <c r="I1316" s="207">
        <f>H1316/G1316</f>
        <v>0</v>
      </c>
      <c r="J1316" s="207"/>
    </row>
    <row r="1317" spans="1:10" s="60" customFormat="1" ht="12.75">
      <c r="A1317" s="147">
        <f t="shared" si="71"/>
        <v>1223</v>
      </c>
      <c r="B1317" s="102">
        <v>4260</v>
      </c>
      <c r="C1317" s="79" t="s">
        <v>299</v>
      </c>
      <c r="D1317" s="84"/>
      <c r="E1317" s="82"/>
      <c r="F1317" s="136">
        <v>55000</v>
      </c>
      <c r="G1317" s="136">
        <v>55000</v>
      </c>
      <c r="H1317" s="136">
        <v>60000</v>
      </c>
      <c r="I1317" s="207">
        <f>H1317/G1317</f>
        <v>1.0909090909090908</v>
      </c>
      <c r="J1317" s="207">
        <f>H1317/$H$1431</f>
        <v>0.0008957696393314284</v>
      </c>
    </row>
    <row r="1318" spans="1:10" ht="12.75">
      <c r="A1318" s="147">
        <f t="shared" si="71"/>
        <v>1224</v>
      </c>
      <c r="B1318" s="4">
        <v>4300</v>
      </c>
      <c r="C1318" s="79" t="s">
        <v>130</v>
      </c>
      <c r="D1318" s="25"/>
      <c r="E1318" s="47">
        <f>SUM(E1320:E1320)</f>
        <v>0</v>
      </c>
      <c r="F1318" s="23">
        <f>SUM(F1320:F1329)</f>
        <v>163368</v>
      </c>
      <c r="G1318" s="23">
        <f>SUM(G1320:G1329)</f>
        <v>163368</v>
      </c>
      <c r="H1318" s="23">
        <f>SUM(H1320:H1329)</f>
        <v>149000</v>
      </c>
      <c r="I1318" s="207">
        <f>H1318/G1318</f>
        <v>0.9120513197198962</v>
      </c>
      <c r="J1318" s="207">
        <f>H1318/$H$1431</f>
        <v>0.0022244946043397137</v>
      </c>
    </row>
    <row r="1319" spans="1:10" ht="12.75">
      <c r="A1319" s="147">
        <f t="shared" si="71"/>
        <v>1225</v>
      </c>
      <c r="B1319" s="4"/>
      <c r="C1319" s="79" t="s">
        <v>15</v>
      </c>
      <c r="D1319" s="25"/>
      <c r="E1319" s="96"/>
      <c r="F1319" s="140"/>
      <c r="G1319" s="140"/>
      <c r="H1319" s="140"/>
      <c r="I1319" s="207"/>
      <c r="J1319" s="207"/>
    </row>
    <row r="1320" spans="1:10" ht="12.75">
      <c r="A1320" s="147">
        <f t="shared" si="71"/>
        <v>1226</v>
      </c>
      <c r="B1320" s="4"/>
      <c r="C1320" s="79" t="s">
        <v>565</v>
      </c>
      <c r="D1320" s="25"/>
      <c r="E1320" s="46">
        <v>0</v>
      </c>
      <c r="F1320" s="131">
        <v>20000</v>
      </c>
      <c r="G1320" s="131">
        <v>20000</v>
      </c>
      <c r="H1320" s="131">
        <v>30000</v>
      </c>
      <c r="I1320" s="207">
        <f>H1320/G1320</f>
        <v>1.5</v>
      </c>
      <c r="J1320" s="207">
        <f>H1320/$H$1431</f>
        <v>0.0004478848196657142</v>
      </c>
    </row>
    <row r="1321" spans="1:10" ht="12.75">
      <c r="A1321" s="147">
        <f t="shared" si="71"/>
        <v>1227</v>
      </c>
      <c r="B1321" s="4"/>
      <c r="C1321" s="165" t="s">
        <v>300</v>
      </c>
      <c r="D1321" s="25"/>
      <c r="E1321" s="46"/>
      <c r="F1321" s="131">
        <v>3000</v>
      </c>
      <c r="G1321" s="131">
        <v>3000</v>
      </c>
      <c r="H1321" s="131">
        <v>4000</v>
      </c>
      <c r="I1321" s="207">
        <f>H1321/G1321</f>
        <v>1.3333333333333333</v>
      </c>
      <c r="J1321" s="207">
        <f>H1321/$H$1431</f>
        <v>5.9717975955428565E-05</v>
      </c>
    </row>
    <row r="1322" spans="1:10" ht="12.75">
      <c r="A1322" s="147">
        <f t="shared" si="71"/>
        <v>1228</v>
      </c>
      <c r="B1322" s="4"/>
      <c r="C1322" s="165" t="s">
        <v>382</v>
      </c>
      <c r="D1322" s="25"/>
      <c r="E1322" s="46"/>
      <c r="F1322" s="131">
        <v>50000</v>
      </c>
      <c r="G1322" s="131">
        <v>50000</v>
      </c>
      <c r="H1322" s="131">
        <v>0</v>
      </c>
      <c r="I1322" s="207">
        <f>H1322/G1322</f>
        <v>0</v>
      </c>
      <c r="J1322" s="207">
        <f>H1322/$H$1431</f>
        <v>0</v>
      </c>
    </row>
    <row r="1323" spans="1:10" ht="12.75">
      <c r="A1323" s="147">
        <f t="shared" si="71"/>
        <v>1229</v>
      </c>
      <c r="B1323" s="4"/>
      <c r="C1323" s="79" t="s">
        <v>220</v>
      </c>
      <c r="D1323" s="25"/>
      <c r="E1323" s="46"/>
      <c r="F1323" s="131">
        <v>6950</v>
      </c>
      <c r="G1323" s="131">
        <v>6950</v>
      </c>
      <c r="H1323" s="131">
        <v>15000</v>
      </c>
      <c r="I1323" s="207">
        <f>H1323/G1323</f>
        <v>2.158273381294964</v>
      </c>
      <c r="J1323" s="207">
        <f>H1323/$H$1431</f>
        <v>0.0002239424098328571</v>
      </c>
    </row>
    <row r="1324" spans="1:10" ht="12.75">
      <c r="A1324" s="147">
        <f t="shared" si="71"/>
        <v>1230</v>
      </c>
      <c r="B1324" s="4"/>
      <c r="C1324" s="79" t="s">
        <v>566</v>
      </c>
      <c r="D1324" s="25"/>
      <c r="E1324" s="46"/>
      <c r="F1324" s="131"/>
      <c r="G1324" s="131"/>
      <c r="H1324" s="131"/>
      <c r="I1324" s="207"/>
      <c r="J1324" s="207"/>
    </row>
    <row r="1325" spans="1:10" ht="12.75">
      <c r="A1325" s="147">
        <f t="shared" si="71"/>
        <v>1231</v>
      </c>
      <c r="B1325" s="4"/>
      <c r="C1325" s="79" t="s">
        <v>567</v>
      </c>
      <c r="D1325" s="25"/>
      <c r="E1325" s="46"/>
      <c r="F1325" s="131"/>
      <c r="G1325" s="131"/>
      <c r="H1325" s="131"/>
      <c r="I1325" s="207"/>
      <c r="J1325" s="207"/>
    </row>
    <row r="1326" spans="1:10" ht="12.75">
      <c r="A1326" s="147">
        <f t="shared" si="71"/>
        <v>1232</v>
      </c>
      <c r="B1326" s="4"/>
      <c r="C1326" s="79" t="s">
        <v>568</v>
      </c>
      <c r="D1326" s="25"/>
      <c r="E1326" s="46"/>
      <c r="F1326" s="131">
        <v>83418</v>
      </c>
      <c r="G1326" s="131">
        <v>83418</v>
      </c>
      <c r="H1326" s="131">
        <v>0</v>
      </c>
      <c r="I1326" s="207">
        <f>H1326/G1326</f>
        <v>0</v>
      </c>
      <c r="J1326" s="207">
        <f>H1326/$H$1431</f>
        <v>0</v>
      </c>
    </row>
    <row r="1327" spans="1:10" ht="12.75">
      <c r="A1327" s="147">
        <f t="shared" si="71"/>
        <v>1233</v>
      </c>
      <c r="B1327" s="4"/>
      <c r="C1327" s="79" t="s">
        <v>592</v>
      </c>
      <c r="D1327" s="25"/>
      <c r="E1327" s="46"/>
      <c r="F1327" s="131"/>
      <c r="G1327" s="131"/>
      <c r="H1327" s="131"/>
      <c r="I1327" s="207"/>
      <c r="J1327" s="207"/>
    </row>
    <row r="1328" spans="1:10" ht="12.75">
      <c r="A1328" s="147">
        <f t="shared" si="71"/>
        <v>1234</v>
      </c>
      <c r="B1328" s="4"/>
      <c r="C1328" s="79" t="s">
        <v>593</v>
      </c>
      <c r="D1328" s="25"/>
      <c r="E1328" s="46"/>
      <c r="F1328" s="131"/>
      <c r="G1328" s="131"/>
      <c r="H1328" s="131"/>
      <c r="I1328" s="207"/>
      <c r="J1328" s="207"/>
    </row>
    <row r="1329" spans="1:10" ht="12.75">
      <c r="A1329" s="147">
        <f t="shared" si="71"/>
        <v>1235</v>
      </c>
      <c r="B1329" s="4"/>
      <c r="C1329" s="79" t="s">
        <v>591</v>
      </c>
      <c r="D1329" s="25"/>
      <c r="E1329" s="46"/>
      <c r="F1329" s="131">
        <v>0</v>
      </c>
      <c r="G1329" s="131">
        <v>0</v>
      </c>
      <c r="H1329" s="131">
        <v>100000</v>
      </c>
      <c r="I1329" s="207"/>
      <c r="J1329" s="207">
        <f>H1329/$H$1431</f>
        <v>0.001492949398885714</v>
      </c>
    </row>
    <row r="1330" spans="1:10" ht="12.75">
      <c r="A1330" s="147">
        <f t="shared" si="71"/>
        <v>1236</v>
      </c>
      <c r="B1330" s="4">
        <v>4590</v>
      </c>
      <c r="C1330" s="79" t="s">
        <v>392</v>
      </c>
      <c r="D1330" s="25"/>
      <c r="E1330" s="46"/>
      <c r="F1330" s="131"/>
      <c r="G1330" s="131"/>
      <c r="H1330" s="131"/>
      <c r="I1330" s="207"/>
      <c r="J1330" s="207"/>
    </row>
    <row r="1331" spans="1:10" ht="12.75">
      <c r="A1331" s="147">
        <f t="shared" si="71"/>
        <v>1237</v>
      </c>
      <c r="B1331" s="4"/>
      <c r="C1331" s="79" t="s">
        <v>393</v>
      </c>
      <c r="D1331" s="25"/>
      <c r="E1331" s="46"/>
      <c r="F1331" s="131"/>
      <c r="G1331" s="131"/>
      <c r="H1331" s="131"/>
      <c r="I1331" s="207"/>
      <c r="J1331" s="207"/>
    </row>
    <row r="1332" spans="1:10" ht="12.75">
      <c r="A1332" s="147">
        <f t="shared" si="71"/>
        <v>1238</v>
      </c>
      <c r="B1332" s="4"/>
      <c r="C1332" s="79" t="s">
        <v>394</v>
      </c>
      <c r="D1332" s="25"/>
      <c r="E1332" s="46"/>
      <c r="F1332" s="131">
        <v>8000</v>
      </c>
      <c r="G1332" s="131">
        <v>8000</v>
      </c>
      <c r="H1332" s="131">
        <v>0</v>
      </c>
      <c r="I1332" s="207">
        <f>H1332/G1332</f>
        <v>0</v>
      </c>
      <c r="J1332" s="207">
        <f>H1332/$H$1431</f>
        <v>0</v>
      </c>
    </row>
    <row r="1333" spans="1:10" ht="12.75">
      <c r="A1333" s="147">
        <f t="shared" si="71"/>
        <v>1239</v>
      </c>
      <c r="B1333" s="4">
        <v>6050</v>
      </c>
      <c r="C1333" s="79" t="s">
        <v>182</v>
      </c>
      <c r="D1333" s="25"/>
      <c r="E1333" s="46"/>
      <c r="F1333" s="131">
        <f>SUM(F1336:F1343)</f>
        <v>3521000</v>
      </c>
      <c r="G1333" s="131">
        <f>SUM(G1336:G1343)</f>
        <v>112000</v>
      </c>
      <c r="H1333" s="131">
        <f>SUM(H1336:H1343)</f>
        <v>4355000</v>
      </c>
      <c r="I1333" s="207">
        <f>H1333/G1333</f>
        <v>38.88392857142857</v>
      </c>
      <c r="J1333" s="207">
        <f>H1333/$H$1431</f>
        <v>0.06501794632147284</v>
      </c>
    </row>
    <row r="1334" spans="1:10" ht="12.75">
      <c r="A1334" s="147">
        <f t="shared" si="71"/>
        <v>1240</v>
      </c>
      <c r="B1334" s="4"/>
      <c r="C1334" s="79" t="s">
        <v>15</v>
      </c>
      <c r="D1334" s="25"/>
      <c r="E1334" s="46"/>
      <c r="F1334" s="131"/>
      <c r="G1334" s="131"/>
      <c r="H1334" s="131"/>
      <c r="I1334" s="207"/>
      <c r="J1334" s="207"/>
    </row>
    <row r="1335" spans="1:10" ht="12.75">
      <c r="A1335" s="147">
        <f t="shared" si="71"/>
        <v>1241</v>
      </c>
      <c r="B1335" s="4"/>
      <c r="C1335" s="79" t="s">
        <v>418</v>
      </c>
      <c r="D1335" s="25"/>
      <c r="E1335" s="46"/>
      <c r="F1335" s="131"/>
      <c r="G1335" s="131"/>
      <c r="H1335" s="131"/>
      <c r="I1335" s="207"/>
      <c r="J1335" s="207"/>
    </row>
    <row r="1336" spans="1:10" ht="12.75">
      <c r="A1336" s="147">
        <f t="shared" si="71"/>
        <v>1242</v>
      </c>
      <c r="B1336" s="4"/>
      <c r="C1336" s="79" t="s">
        <v>419</v>
      </c>
      <c r="D1336" s="25"/>
      <c r="E1336" s="46"/>
      <c r="F1336" s="131">
        <v>3509000</v>
      </c>
      <c r="G1336" s="131">
        <v>100000</v>
      </c>
      <c r="H1336" s="131">
        <v>3300000</v>
      </c>
      <c r="I1336" s="207">
        <f>H1336/G1336</f>
        <v>33</v>
      </c>
      <c r="J1336" s="207">
        <f>H1336/$H$1431</f>
        <v>0.04926733016322856</v>
      </c>
    </row>
    <row r="1337" spans="1:10" ht="12.75">
      <c r="A1337" s="147">
        <f t="shared" si="71"/>
        <v>1243</v>
      </c>
      <c r="B1337" s="4"/>
      <c r="C1337" s="79" t="s">
        <v>524</v>
      </c>
      <c r="D1337" s="25"/>
      <c r="E1337" s="46"/>
      <c r="F1337" s="131"/>
      <c r="G1337" s="131"/>
      <c r="H1337" s="131"/>
      <c r="I1337" s="207"/>
      <c r="J1337" s="207"/>
    </row>
    <row r="1338" spans="1:10" ht="12.75">
      <c r="A1338" s="147">
        <f t="shared" si="71"/>
        <v>1244</v>
      </c>
      <c r="B1338" s="4"/>
      <c r="C1338" s="79" t="s">
        <v>523</v>
      </c>
      <c r="D1338" s="25"/>
      <c r="E1338" s="46"/>
      <c r="F1338" s="131">
        <v>12000</v>
      </c>
      <c r="G1338" s="131">
        <v>12000</v>
      </c>
      <c r="H1338" s="131">
        <v>0</v>
      </c>
      <c r="I1338" s="207">
        <f>H1338/G1338</f>
        <v>0</v>
      </c>
      <c r="J1338" s="207">
        <f>H1338/$H$1431</f>
        <v>0</v>
      </c>
    </row>
    <row r="1339" spans="1:10" ht="12.75">
      <c r="A1339" s="147">
        <f t="shared" si="71"/>
        <v>1245</v>
      </c>
      <c r="B1339" s="4"/>
      <c r="C1339" s="79" t="s">
        <v>663</v>
      </c>
      <c r="D1339" s="25"/>
      <c r="E1339" s="46"/>
      <c r="F1339" s="131">
        <v>0</v>
      </c>
      <c r="G1339" s="131">
        <v>0</v>
      </c>
      <c r="H1339" s="131">
        <v>130000</v>
      </c>
      <c r="I1339" s="207"/>
      <c r="J1339" s="207">
        <f>H1339/$H$1431</f>
        <v>0.0019408342185514283</v>
      </c>
    </row>
    <row r="1340" spans="1:10" ht="12.75">
      <c r="A1340" s="147">
        <f t="shared" si="71"/>
        <v>1246</v>
      </c>
      <c r="B1340" s="4"/>
      <c r="C1340" s="79" t="s">
        <v>675</v>
      </c>
      <c r="D1340" s="25"/>
      <c r="E1340" s="46"/>
      <c r="F1340" s="131"/>
      <c r="G1340" s="131"/>
      <c r="H1340" s="131"/>
      <c r="I1340" s="207"/>
      <c r="J1340" s="207"/>
    </row>
    <row r="1341" spans="1:10" ht="12.75">
      <c r="A1341" s="147">
        <f t="shared" si="71"/>
        <v>1247</v>
      </c>
      <c r="B1341" s="4"/>
      <c r="C1341" s="79" t="s">
        <v>676</v>
      </c>
      <c r="D1341" s="25"/>
      <c r="E1341" s="46"/>
      <c r="F1341" s="131">
        <v>0</v>
      </c>
      <c r="G1341" s="131">
        <v>0</v>
      </c>
      <c r="H1341" s="131">
        <v>25000</v>
      </c>
      <c r="I1341" s="207"/>
      <c r="J1341" s="207">
        <f>H1341/$H$1431</f>
        <v>0.0003732373497214285</v>
      </c>
    </row>
    <row r="1342" spans="1:10" ht="12.75">
      <c r="A1342" s="147">
        <f t="shared" si="71"/>
        <v>1248</v>
      </c>
      <c r="B1342" s="4"/>
      <c r="C1342" s="79" t="s">
        <v>677</v>
      </c>
      <c r="D1342" s="25"/>
      <c r="E1342" s="46"/>
      <c r="F1342" s="131"/>
      <c r="G1342" s="131"/>
      <c r="H1342" s="131"/>
      <c r="I1342" s="207"/>
      <c r="J1342" s="207"/>
    </row>
    <row r="1343" spans="1:10" ht="12.75">
      <c r="A1343" s="147">
        <f t="shared" si="71"/>
        <v>1249</v>
      </c>
      <c r="B1343" s="4"/>
      <c r="C1343" s="79" t="s">
        <v>678</v>
      </c>
      <c r="D1343" s="25"/>
      <c r="E1343" s="46"/>
      <c r="F1343" s="131">
        <v>0</v>
      </c>
      <c r="G1343" s="131">
        <v>0</v>
      </c>
      <c r="H1343" s="131">
        <v>900000</v>
      </c>
      <c r="I1343" s="207"/>
      <c r="J1343" s="207">
        <f>H1343/$H$1431</f>
        <v>0.013436544589971426</v>
      </c>
    </row>
    <row r="1344" spans="1:10" ht="12.75">
      <c r="A1344" s="147">
        <f t="shared" si="71"/>
        <v>1250</v>
      </c>
      <c r="B1344" s="4">
        <v>6060</v>
      </c>
      <c r="C1344" s="79" t="s">
        <v>301</v>
      </c>
      <c r="D1344" s="25"/>
      <c r="E1344" s="46"/>
      <c r="F1344" s="131">
        <f>SUM(F1346:F1346)</f>
        <v>3061566</v>
      </c>
      <c r="G1344" s="131">
        <f>SUM(G1346:G1346)</f>
        <v>3061565.52</v>
      </c>
      <c r="H1344" s="131">
        <f>SUM(H1346:H1346)</f>
        <v>0</v>
      </c>
      <c r="I1344" s="207">
        <f>H1344/G1344</f>
        <v>0</v>
      </c>
      <c r="J1344" s="207">
        <f>H1344/$H$1431</f>
        <v>0</v>
      </c>
    </row>
    <row r="1345" spans="1:10" ht="12.75">
      <c r="A1345" s="147">
        <f t="shared" si="71"/>
        <v>1251</v>
      </c>
      <c r="B1345" s="4"/>
      <c r="C1345" s="79" t="s">
        <v>15</v>
      </c>
      <c r="D1345" s="25"/>
      <c r="E1345" s="46"/>
      <c r="F1345" s="131"/>
      <c r="G1345" s="131"/>
      <c r="H1345" s="131"/>
      <c r="I1345" s="207"/>
      <c r="J1345" s="207"/>
    </row>
    <row r="1346" spans="1:10" ht="12.75">
      <c r="A1346" s="147">
        <f t="shared" si="71"/>
        <v>1252</v>
      </c>
      <c r="B1346" s="4"/>
      <c r="C1346" s="79" t="s">
        <v>420</v>
      </c>
      <c r="D1346" s="25"/>
      <c r="E1346" s="46"/>
      <c r="F1346" s="131">
        <v>3061566</v>
      </c>
      <c r="G1346" s="131">
        <v>3061565.52</v>
      </c>
      <c r="H1346" s="131">
        <v>0</v>
      </c>
      <c r="I1346" s="207">
        <f>H1346/G1346</f>
        <v>0</v>
      </c>
      <c r="J1346" s="207">
        <f>H1346/$H$1431</f>
        <v>0</v>
      </c>
    </row>
    <row r="1347" spans="1:10" ht="12.75">
      <c r="A1347" s="147">
        <f t="shared" si="71"/>
        <v>1253</v>
      </c>
      <c r="B1347" s="4">
        <v>6220</v>
      </c>
      <c r="C1347" s="79" t="s">
        <v>390</v>
      </c>
      <c r="D1347" s="25"/>
      <c r="E1347" s="46"/>
      <c r="F1347" s="131"/>
      <c r="G1347" s="131"/>
      <c r="H1347" s="131"/>
      <c r="I1347" s="207"/>
      <c r="J1347" s="207"/>
    </row>
    <row r="1348" spans="1:10" ht="12.75">
      <c r="A1348" s="147">
        <f t="shared" si="71"/>
        <v>1254</v>
      </c>
      <c r="B1348" s="4"/>
      <c r="C1348" s="79" t="s">
        <v>372</v>
      </c>
      <c r="D1348" s="25"/>
      <c r="E1348" s="46"/>
      <c r="F1348" s="131"/>
      <c r="G1348" s="131"/>
      <c r="H1348" s="131"/>
      <c r="I1348" s="207"/>
      <c r="J1348" s="207"/>
    </row>
    <row r="1349" spans="1:10" ht="12.75">
      <c r="A1349" s="147">
        <f t="shared" si="71"/>
        <v>1255</v>
      </c>
      <c r="B1349" s="4"/>
      <c r="C1349" s="79" t="s">
        <v>373</v>
      </c>
      <c r="D1349" s="25"/>
      <c r="E1349" s="46"/>
      <c r="F1349" s="131"/>
      <c r="G1349" s="131"/>
      <c r="H1349" s="131"/>
      <c r="I1349" s="207"/>
      <c r="J1349" s="207"/>
    </row>
    <row r="1350" spans="1:10" ht="12.75">
      <c r="A1350" s="147">
        <f t="shared" si="71"/>
        <v>1256</v>
      </c>
      <c r="B1350" s="4"/>
      <c r="C1350" s="79" t="s">
        <v>391</v>
      </c>
      <c r="D1350" s="25"/>
      <c r="E1350" s="46"/>
      <c r="F1350" s="131">
        <f>SUM(F1353:F1355)</f>
        <v>393052</v>
      </c>
      <c r="G1350" s="131">
        <f>SUM(G1353:G1355)</f>
        <v>64588</v>
      </c>
      <c r="H1350" s="131">
        <f>SUM(H1353:H1355)</f>
        <v>1436000</v>
      </c>
      <c r="I1350" s="207">
        <f>H1350/G1350</f>
        <v>22.233232179352203</v>
      </c>
      <c r="J1350" s="207">
        <f>H1350/$H$1431</f>
        <v>0.021438753367998855</v>
      </c>
    </row>
    <row r="1351" spans="1:10" ht="12.75">
      <c r="A1351" s="147">
        <f t="shared" si="71"/>
        <v>1257</v>
      </c>
      <c r="B1351" s="4"/>
      <c r="C1351" s="79" t="s">
        <v>15</v>
      </c>
      <c r="D1351" s="25"/>
      <c r="E1351" s="46"/>
      <c r="F1351" s="131"/>
      <c r="G1351" s="131"/>
      <c r="H1351" s="131"/>
      <c r="I1351" s="207"/>
      <c r="J1351" s="207"/>
    </row>
    <row r="1352" spans="1:10" ht="12.75">
      <c r="A1352" s="147">
        <f t="shared" si="71"/>
        <v>1258</v>
      </c>
      <c r="B1352" s="4"/>
      <c r="C1352" s="79" t="s">
        <v>386</v>
      </c>
      <c r="D1352" s="25"/>
      <c r="E1352" s="46"/>
      <c r="F1352" s="131"/>
      <c r="G1352" s="131"/>
      <c r="H1352" s="131"/>
      <c r="I1352" s="207"/>
      <c r="J1352" s="207"/>
    </row>
    <row r="1353" spans="1:10" ht="12.75">
      <c r="A1353" s="147">
        <f t="shared" si="71"/>
        <v>1259</v>
      </c>
      <c r="B1353" s="4"/>
      <c r="C1353" s="79" t="s">
        <v>387</v>
      </c>
      <c r="D1353" s="25"/>
      <c r="E1353" s="46"/>
      <c r="F1353" s="131">
        <v>360052</v>
      </c>
      <c r="G1353" s="131">
        <v>31793</v>
      </c>
      <c r="H1353" s="131">
        <v>1436000</v>
      </c>
      <c r="I1353" s="207">
        <f>H1353/G1353</f>
        <v>45.16717516434435</v>
      </c>
      <c r="J1353" s="207">
        <f>H1353/$H$1431</f>
        <v>0.021438753367998855</v>
      </c>
    </row>
    <row r="1354" spans="1:10" ht="12.75">
      <c r="A1354" s="147">
        <f t="shared" si="71"/>
        <v>1260</v>
      </c>
      <c r="B1354" s="4"/>
      <c r="C1354" s="79" t="s">
        <v>388</v>
      </c>
      <c r="D1354" s="25"/>
      <c r="E1354" s="46"/>
      <c r="F1354" s="131"/>
      <c r="G1354" s="131"/>
      <c r="H1354" s="131"/>
      <c r="I1354" s="207"/>
      <c r="J1354" s="207"/>
    </row>
    <row r="1355" spans="1:10" ht="12.75">
      <c r="A1355" s="147">
        <f t="shared" si="71"/>
        <v>1261</v>
      </c>
      <c r="B1355" s="4"/>
      <c r="C1355" s="79" t="s">
        <v>389</v>
      </c>
      <c r="D1355" s="25"/>
      <c r="E1355" s="46"/>
      <c r="F1355" s="131">
        <v>33000</v>
      </c>
      <c r="G1355" s="131">
        <v>32795</v>
      </c>
      <c r="H1355" s="131">
        <v>0</v>
      </c>
      <c r="I1355" s="207">
        <f>H1355/G1355</f>
        <v>0</v>
      </c>
      <c r="J1355" s="207">
        <f>H1355/$H$1431</f>
        <v>0</v>
      </c>
    </row>
    <row r="1356" spans="1:10" ht="12.75">
      <c r="A1356" s="147">
        <f t="shared" si="71"/>
        <v>1262</v>
      </c>
      <c r="B1356" s="4">
        <v>6610</v>
      </c>
      <c r="C1356" s="79" t="s">
        <v>629</v>
      </c>
      <c r="D1356" s="25"/>
      <c r="E1356" s="46"/>
      <c r="F1356" s="131"/>
      <c r="G1356" s="131"/>
      <c r="H1356" s="131"/>
      <c r="I1356" s="207"/>
      <c r="J1356" s="207"/>
    </row>
    <row r="1357" spans="1:10" ht="12.75">
      <c r="A1357" s="147">
        <f t="shared" si="71"/>
        <v>1263</v>
      </c>
      <c r="B1357" s="4"/>
      <c r="C1357" s="79" t="s">
        <v>715</v>
      </c>
      <c r="D1357" s="25"/>
      <c r="E1357" s="46"/>
      <c r="F1357" s="131"/>
      <c r="G1357" s="131"/>
      <c r="H1357" s="131"/>
      <c r="I1357" s="207"/>
      <c r="J1357" s="207"/>
    </row>
    <row r="1358" spans="1:10" ht="12.75">
      <c r="A1358" s="147">
        <f t="shared" si="71"/>
        <v>1264</v>
      </c>
      <c r="B1358" s="4"/>
      <c r="C1358" s="79" t="s">
        <v>630</v>
      </c>
      <c r="D1358" s="25"/>
      <c r="E1358" s="46"/>
      <c r="F1358" s="131"/>
      <c r="G1358" s="131"/>
      <c r="H1358" s="131"/>
      <c r="I1358" s="207"/>
      <c r="J1358" s="207"/>
    </row>
    <row r="1359" spans="1:10" ht="12.75">
      <c r="A1359" s="147">
        <f t="shared" si="71"/>
        <v>1265</v>
      </c>
      <c r="B1359" s="4"/>
      <c r="C1359" s="79" t="s">
        <v>631</v>
      </c>
      <c r="D1359" s="25"/>
      <c r="E1359" s="46"/>
      <c r="F1359" s="131"/>
      <c r="G1359" s="131"/>
      <c r="H1359" s="131"/>
      <c r="I1359" s="207"/>
      <c r="J1359" s="207"/>
    </row>
    <row r="1360" spans="1:10" ht="12.75">
      <c r="A1360" s="147">
        <f t="shared" si="71"/>
        <v>1266</v>
      </c>
      <c r="B1360" s="4"/>
      <c r="C1360" s="79" t="s">
        <v>632</v>
      </c>
      <c r="D1360" s="25"/>
      <c r="E1360" s="46"/>
      <c r="F1360" s="131">
        <v>0</v>
      </c>
      <c r="G1360" s="131">
        <v>0</v>
      </c>
      <c r="H1360" s="131">
        <v>55000</v>
      </c>
      <c r="I1360" s="207"/>
      <c r="J1360" s="207">
        <f>H1360/$H$1431</f>
        <v>0.0008211221693871427</v>
      </c>
    </row>
    <row r="1361" spans="1:10" ht="12.75">
      <c r="A1361" s="147">
        <f t="shared" si="71"/>
        <v>1267</v>
      </c>
      <c r="B1361" s="4">
        <v>6800</v>
      </c>
      <c r="C1361" s="103" t="s">
        <v>303</v>
      </c>
      <c r="D1361" s="25"/>
      <c r="E1361" s="46"/>
      <c r="F1361" s="131"/>
      <c r="G1361" s="131"/>
      <c r="H1361" s="131"/>
      <c r="I1361" s="207"/>
      <c r="J1361" s="207"/>
    </row>
    <row r="1362" spans="1:10" ht="12.75">
      <c r="A1362" s="147">
        <f t="shared" si="71"/>
        <v>1268</v>
      </c>
      <c r="B1362" s="4"/>
      <c r="C1362" s="103" t="s">
        <v>407</v>
      </c>
      <c r="D1362" s="25"/>
      <c r="E1362" s="46"/>
      <c r="F1362" s="131"/>
      <c r="G1362" s="131"/>
      <c r="H1362" s="131"/>
      <c r="I1362" s="207"/>
      <c r="J1362" s="207"/>
    </row>
    <row r="1363" spans="1:10" ht="12.75">
      <c r="A1363" s="147">
        <f t="shared" si="71"/>
        <v>1269</v>
      </c>
      <c r="B1363" s="4"/>
      <c r="C1363" s="103" t="s">
        <v>408</v>
      </c>
      <c r="D1363" s="25"/>
      <c r="E1363" s="46"/>
      <c r="F1363" s="131"/>
      <c r="G1363" s="131"/>
      <c r="H1363" s="131"/>
      <c r="I1363" s="207"/>
      <c r="J1363" s="207"/>
    </row>
    <row r="1364" spans="1:10" ht="12.75">
      <c r="A1364" s="147">
        <f t="shared" si="71"/>
        <v>1270</v>
      </c>
      <c r="B1364" s="4"/>
      <c r="C1364" s="103" t="s">
        <v>409</v>
      </c>
      <c r="D1364" s="25"/>
      <c r="E1364" s="46"/>
      <c r="F1364" s="131"/>
      <c r="G1364" s="131"/>
      <c r="H1364" s="131"/>
      <c r="I1364" s="207"/>
      <c r="J1364" s="207"/>
    </row>
    <row r="1365" spans="1:10" ht="12.75">
      <c r="A1365" s="147">
        <f t="shared" si="71"/>
        <v>1271</v>
      </c>
      <c r="B1365" s="4"/>
      <c r="C1365" s="103" t="s">
        <v>410</v>
      </c>
      <c r="D1365" s="25"/>
      <c r="E1365" s="46"/>
      <c r="F1365" s="131">
        <v>45800</v>
      </c>
      <c r="G1365" s="131">
        <v>0</v>
      </c>
      <c r="H1365" s="131">
        <v>0</v>
      </c>
      <c r="I1365" s="207"/>
      <c r="J1365" s="207">
        <f>H1365/$H$1431</f>
        <v>0</v>
      </c>
    </row>
    <row r="1366" spans="1:10" s="70" customFormat="1" ht="12.75">
      <c r="A1366" s="147">
        <f t="shared" si="71"/>
        <v>1272</v>
      </c>
      <c r="B1366" s="56">
        <v>921</v>
      </c>
      <c r="C1366" s="78" t="s">
        <v>120</v>
      </c>
      <c r="D1366" s="58"/>
      <c r="E1366" s="71"/>
      <c r="F1366" s="141"/>
      <c r="G1366" s="141"/>
      <c r="H1366" s="141"/>
      <c r="I1366" s="207"/>
      <c r="J1366" s="207"/>
    </row>
    <row r="1367" spans="1:10" s="70" customFormat="1" ht="12.75">
      <c r="A1367" s="147">
        <f t="shared" si="71"/>
        <v>1273</v>
      </c>
      <c r="B1367" s="57"/>
      <c r="C1367" s="78" t="s">
        <v>121</v>
      </c>
      <c r="D1367" s="58"/>
      <c r="E1367" s="59" t="e">
        <f>E1368+E1379+E1397</f>
        <v>#REF!</v>
      </c>
      <c r="F1367" s="58">
        <f>F1368+F1379+F1382+F1397</f>
        <v>8733849</v>
      </c>
      <c r="G1367" s="58">
        <f>G1368+G1379+G1382+G1397</f>
        <v>8614766.1</v>
      </c>
      <c r="H1367" s="58">
        <f>H1368+H1379+H1382+H1397</f>
        <v>7040885</v>
      </c>
      <c r="I1367" s="207">
        <f aca="true" t="shared" si="72" ref="I1367:I1424">H1367/G1367</f>
        <v>0.817304256235117</v>
      </c>
      <c r="J1367" s="207">
        <f>H1367/$H$1431</f>
        <v>0.10511685028373441</v>
      </c>
    </row>
    <row r="1368" spans="1:10" s="73" customFormat="1" ht="12.75">
      <c r="A1368" s="147">
        <f t="shared" si="71"/>
        <v>1274</v>
      </c>
      <c r="B1368" s="62">
        <v>92109</v>
      </c>
      <c r="C1368" s="68" t="s">
        <v>122</v>
      </c>
      <c r="D1368" s="63"/>
      <c r="E1368" s="64" t="e">
        <f>#REF!</f>
        <v>#REF!</v>
      </c>
      <c r="F1368" s="63">
        <f>F1370+F1374</f>
        <v>2075500</v>
      </c>
      <c r="G1368" s="63">
        <f>G1370+G1374</f>
        <v>2075500</v>
      </c>
      <c r="H1368" s="63">
        <f>H1370+H1374</f>
        <v>3003800</v>
      </c>
      <c r="I1368" s="207">
        <f t="shared" si="72"/>
        <v>1.4472657191038305</v>
      </c>
      <c r="J1368" s="207">
        <f>H1368/$H$1431</f>
        <v>0.04484521404372908</v>
      </c>
    </row>
    <row r="1369" spans="1:10" s="60" customFormat="1" ht="12.75">
      <c r="A1369" s="147">
        <f t="shared" si="71"/>
        <v>1275</v>
      </c>
      <c r="B1369" s="85">
        <v>2480</v>
      </c>
      <c r="C1369" s="79" t="s">
        <v>213</v>
      </c>
      <c r="D1369" s="84"/>
      <c r="E1369" s="83"/>
      <c r="F1369" s="136"/>
      <c r="G1369" s="136"/>
      <c r="H1369" s="136"/>
      <c r="I1369" s="207"/>
      <c r="J1369" s="207"/>
    </row>
    <row r="1370" spans="1:10" s="60" customFormat="1" ht="12.75">
      <c r="A1370" s="147">
        <f t="shared" si="71"/>
        <v>1276</v>
      </c>
      <c r="B1370" s="85"/>
      <c r="C1370" s="79" t="s">
        <v>214</v>
      </c>
      <c r="D1370" s="84"/>
      <c r="E1370" s="83"/>
      <c r="F1370" s="136">
        <v>1083000</v>
      </c>
      <c r="G1370" s="136">
        <v>1083000</v>
      </c>
      <c r="H1370" s="136">
        <v>2353800</v>
      </c>
      <c r="I1370" s="207">
        <f t="shared" si="72"/>
        <v>2.1734072022160666</v>
      </c>
      <c r="J1370" s="207">
        <f>H1370/$H$1431</f>
        <v>0.03514104295097194</v>
      </c>
    </row>
    <row r="1371" spans="1:10" s="60" customFormat="1" ht="12.75">
      <c r="A1371" s="147">
        <f t="shared" si="71"/>
        <v>1277</v>
      </c>
      <c r="B1371" s="4">
        <v>6220</v>
      </c>
      <c r="C1371" s="79" t="s">
        <v>390</v>
      </c>
      <c r="D1371" s="84"/>
      <c r="E1371" s="83"/>
      <c r="F1371" s="136"/>
      <c r="G1371" s="136"/>
      <c r="H1371" s="136"/>
      <c r="I1371" s="207"/>
      <c r="J1371" s="207"/>
    </row>
    <row r="1372" spans="1:10" s="60" customFormat="1" ht="12.75">
      <c r="A1372" s="147">
        <f t="shared" si="71"/>
        <v>1278</v>
      </c>
      <c r="B1372" s="4"/>
      <c r="C1372" s="79" t="s">
        <v>372</v>
      </c>
      <c r="D1372" s="84"/>
      <c r="E1372" s="83"/>
      <c r="F1372" s="136"/>
      <c r="G1372" s="136"/>
      <c r="H1372" s="136"/>
      <c r="I1372" s="207"/>
      <c r="J1372" s="207"/>
    </row>
    <row r="1373" spans="1:10" s="60" customFormat="1" ht="12.75">
      <c r="A1373" s="147">
        <f t="shared" si="71"/>
        <v>1279</v>
      </c>
      <c r="B1373" s="4"/>
      <c r="C1373" s="79" t="s">
        <v>373</v>
      </c>
      <c r="D1373" s="84"/>
      <c r="E1373" s="83"/>
      <c r="F1373" s="136"/>
      <c r="G1373" s="136"/>
      <c r="H1373" s="136"/>
      <c r="I1373" s="207"/>
      <c r="J1373" s="207"/>
    </row>
    <row r="1374" spans="1:10" s="60" customFormat="1" ht="12.75">
      <c r="A1374" s="147">
        <f t="shared" si="71"/>
        <v>1280</v>
      </c>
      <c r="B1374" s="4"/>
      <c r="C1374" s="79" t="s">
        <v>627</v>
      </c>
      <c r="D1374" s="84"/>
      <c r="E1374" s="83"/>
      <c r="F1374" s="136">
        <f>SUM(F1376:F1378)</f>
        <v>992500</v>
      </c>
      <c r="G1374" s="136">
        <f>SUM(G1376:G1378)</f>
        <v>992500</v>
      </c>
      <c r="H1374" s="136">
        <f>SUM(H1376:H1378)</f>
        <v>650000</v>
      </c>
      <c r="I1374" s="207">
        <f t="shared" si="72"/>
        <v>0.654911838790932</v>
      </c>
      <c r="J1374" s="207">
        <f>H1374/$H$1431</f>
        <v>0.009704171092757142</v>
      </c>
    </row>
    <row r="1375" spans="1:10" s="60" customFormat="1" ht="12.75">
      <c r="A1375" s="147">
        <f t="shared" si="71"/>
        <v>1281</v>
      </c>
      <c r="B1375" s="4"/>
      <c r="C1375" s="79" t="s">
        <v>15</v>
      </c>
      <c r="D1375" s="84"/>
      <c r="E1375" s="83"/>
      <c r="F1375" s="136"/>
      <c r="G1375" s="136"/>
      <c r="H1375" s="136"/>
      <c r="I1375" s="207"/>
      <c r="J1375" s="207"/>
    </row>
    <row r="1376" spans="1:10" s="60" customFormat="1" ht="12.75">
      <c r="A1376" s="147">
        <f aca="true" t="shared" si="73" ref="A1376:A1431">A1375+1</f>
        <v>1282</v>
      </c>
      <c r="B1376" s="4"/>
      <c r="C1376" s="79" t="s">
        <v>526</v>
      </c>
      <c r="D1376" s="84"/>
      <c r="E1376" s="83"/>
      <c r="F1376" s="136">
        <v>400000</v>
      </c>
      <c r="G1376" s="136">
        <v>400000</v>
      </c>
      <c r="H1376" s="136">
        <v>650000</v>
      </c>
      <c r="I1376" s="207">
        <f t="shared" si="72"/>
        <v>1.625</v>
      </c>
      <c r="J1376" s="207">
        <f>H1376/$H$1431</f>
        <v>0.009704171092757142</v>
      </c>
    </row>
    <row r="1377" spans="1:10" s="60" customFormat="1" ht="12.75">
      <c r="A1377" s="147">
        <f t="shared" si="73"/>
        <v>1283</v>
      </c>
      <c r="B1377" s="4"/>
      <c r="C1377" s="79" t="s">
        <v>525</v>
      </c>
      <c r="D1377" s="84"/>
      <c r="E1377" s="83"/>
      <c r="F1377" s="136"/>
      <c r="G1377" s="136"/>
      <c r="H1377" s="136"/>
      <c r="I1377" s="207"/>
      <c r="J1377" s="207"/>
    </row>
    <row r="1378" spans="1:10" s="60" customFormat="1" ht="12.75">
      <c r="A1378" s="147">
        <f t="shared" si="73"/>
        <v>1284</v>
      </c>
      <c r="B1378" s="4"/>
      <c r="C1378" s="79" t="s">
        <v>628</v>
      </c>
      <c r="D1378" s="84"/>
      <c r="E1378" s="83"/>
      <c r="F1378" s="136">
        <v>592500</v>
      </c>
      <c r="G1378" s="136">
        <v>592500</v>
      </c>
      <c r="H1378" s="136">
        <v>0</v>
      </c>
      <c r="I1378" s="207">
        <f t="shared" si="72"/>
        <v>0</v>
      </c>
      <c r="J1378" s="207">
        <f>H1378/$H$1431</f>
        <v>0</v>
      </c>
    </row>
    <row r="1379" spans="1:10" s="73" customFormat="1" ht="12.75" customHeight="1">
      <c r="A1379" s="147">
        <f t="shared" si="73"/>
        <v>1285</v>
      </c>
      <c r="B1379" s="62">
        <v>92116</v>
      </c>
      <c r="C1379" s="68" t="s">
        <v>45</v>
      </c>
      <c r="D1379" s="63"/>
      <c r="E1379" s="72" t="e">
        <f>#REF!</f>
        <v>#REF!</v>
      </c>
      <c r="F1379" s="138">
        <f>SUM(F1381:F1381)</f>
        <v>303900</v>
      </c>
      <c r="G1379" s="138">
        <f>SUM(G1381:G1381)</f>
        <v>303900</v>
      </c>
      <c r="H1379" s="138">
        <f>SUM(H1381:H1381)</f>
        <v>387085</v>
      </c>
      <c r="I1379" s="207">
        <f t="shared" si="72"/>
        <v>1.2737249095097072</v>
      </c>
      <c r="J1379" s="207">
        <f>H1379/$H$1431</f>
        <v>0.005778983180676767</v>
      </c>
    </row>
    <row r="1380" spans="1:10" s="73" customFormat="1" ht="12.75" customHeight="1">
      <c r="A1380" s="147">
        <f t="shared" si="73"/>
        <v>1286</v>
      </c>
      <c r="B1380" s="85">
        <v>2480</v>
      </c>
      <c r="C1380" s="79" t="s">
        <v>213</v>
      </c>
      <c r="D1380" s="63"/>
      <c r="E1380" s="72"/>
      <c r="F1380" s="138"/>
      <c r="G1380" s="138"/>
      <c r="H1380" s="138"/>
      <c r="I1380" s="207"/>
      <c r="J1380" s="207"/>
    </row>
    <row r="1381" spans="1:10" s="73" customFormat="1" ht="12.75" customHeight="1">
      <c r="A1381" s="147">
        <f t="shared" si="73"/>
        <v>1287</v>
      </c>
      <c r="B1381" s="85"/>
      <c r="C1381" s="79" t="s">
        <v>214</v>
      </c>
      <c r="D1381" s="63"/>
      <c r="E1381" s="72"/>
      <c r="F1381" s="136">
        <v>303900</v>
      </c>
      <c r="G1381" s="136">
        <v>303900</v>
      </c>
      <c r="H1381" s="136">
        <v>387085</v>
      </c>
      <c r="I1381" s="207">
        <f t="shared" si="72"/>
        <v>1.2737249095097072</v>
      </c>
      <c r="J1381" s="207">
        <f>H1381/$H$1431</f>
        <v>0.005778983180676767</v>
      </c>
    </row>
    <row r="1382" spans="1:10" s="166" customFormat="1" ht="12.75" customHeight="1">
      <c r="A1382" s="147">
        <f t="shared" si="73"/>
        <v>1288</v>
      </c>
      <c r="B1382" s="167">
        <v>92120</v>
      </c>
      <c r="C1382" s="168" t="s">
        <v>302</v>
      </c>
      <c r="D1382" s="146"/>
      <c r="E1382" s="150"/>
      <c r="F1382" s="151">
        <f>+F1385+F1389+F1396</f>
        <v>593995.99</v>
      </c>
      <c r="G1382" s="151">
        <f>+G1385+G1389+G1396</f>
        <v>474913.09</v>
      </c>
      <c r="H1382" s="151">
        <f>+H1385+H1389+H1396</f>
        <v>0</v>
      </c>
      <c r="I1382" s="207">
        <f t="shared" si="72"/>
        <v>0</v>
      </c>
      <c r="J1382" s="207">
        <f>H1382/$H$1431</f>
        <v>0</v>
      </c>
    </row>
    <row r="1383" spans="1:10" s="166" customFormat="1" ht="12.75" customHeight="1">
      <c r="A1383" s="147">
        <f t="shared" si="73"/>
        <v>1289</v>
      </c>
      <c r="B1383" s="14">
        <v>6050</v>
      </c>
      <c r="C1383" s="79" t="s">
        <v>182</v>
      </c>
      <c r="D1383" s="146"/>
      <c r="E1383" s="150"/>
      <c r="F1383" s="151"/>
      <c r="G1383" s="151"/>
      <c r="H1383" s="151"/>
      <c r="I1383" s="207"/>
      <c r="J1383" s="207"/>
    </row>
    <row r="1384" spans="1:10" s="166" customFormat="1" ht="12.75" customHeight="1">
      <c r="A1384" s="147">
        <f t="shared" si="73"/>
        <v>1290</v>
      </c>
      <c r="B1384" s="14"/>
      <c r="C1384" s="103" t="s">
        <v>422</v>
      </c>
      <c r="D1384" s="146"/>
      <c r="E1384" s="150"/>
      <c r="F1384" s="151"/>
      <c r="G1384" s="151"/>
      <c r="H1384" s="151"/>
      <c r="I1384" s="207"/>
      <c r="J1384" s="207"/>
    </row>
    <row r="1385" spans="1:10" s="166" customFormat="1" ht="12.75" customHeight="1">
      <c r="A1385" s="147">
        <f t="shared" si="73"/>
        <v>1291</v>
      </c>
      <c r="B1385" s="167"/>
      <c r="C1385" s="147" t="s">
        <v>304</v>
      </c>
      <c r="D1385" s="146"/>
      <c r="E1385" s="150"/>
      <c r="F1385" s="131">
        <v>184942.99</v>
      </c>
      <c r="G1385" s="131">
        <v>180136.18</v>
      </c>
      <c r="H1385" s="131">
        <v>0</v>
      </c>
      <c r="I1385" s="207">
        <f t="shared" si="72"/>
        <v>0</v>
      </c>
      <c r="J1385" s="207">
        <f>H1385/$H$1431</f>
        <v>0</v>
      </c>
    </row>
    <row r="1386" spans="1:10" s="166" customFormat="1" ht="12.75" customHeight="1">
      <c r="A1386" s="147">
        <f>A1385+1</f>
        <v>1292</v>
      </c>
      <c r="B1386" s="130">
        <v>6230</v>
      </c>
      <c r="C1386" s="79" t="s">
        <v>371</v>
      </c>
      <c r="D1386" s="146"/>
      <c r="E1386" s="150"/>
      <c r="F1386" s="131"/>
      <c r="G1386" s="131"/>
      <c r="H1386" s="131"/>
      <c r="I1386" s="207"/>
      <c r="J1386" s="207">
        <f>H1386/$H$1431</f>
        <v>0</v>
      </c>
    </row>
    <row r="1387" spans="1:10" s="166" customFormat="1" ht="12.75" customHeight="1">
      <c r="A1387" s="147">
        <f t="shared" si="73"/>
        <v>1293</v>
      </c>
      <c r="B1387" s="130"/>
      <c r="C1387" s="79" t="s">
        <v>372</v>
      </c>
      <c r="D1387" s="146"/>
      <c r="E1387" s="150"/>
      <c r="F1387" s="131"/>
      <c r="G1387" s="131"/>
      <c r="H1387" s="131"/>
      <c r="I1387" s="207"/>
      <c r="J1387" s="207">
        <f>H1387/$H$1431</f>
        <v>0</v>
      </c>
    </row>
    <row r="1388" spans="1:10" s="166" customFormat="1" ht="12.75" customHeight="1">
      <c r="A1388" s="147">
        <f t="shared" si="73"/>
        <v>1294</v>
      </c>
      <c r="B1388" s="130"/>
      <c r="C1388" s="79" t="s">
        <v>375</v>
      </c>
      <c r="D1388" s="146"/>
      <c r="E1388" s="150"/>
      <c r="F1388" s="131"/>
      <c r="G1388" s="131"/>
      <c r="H1388" s="131"/>
      <c r="I1388" s="207"/>
      <c r="J1388" s="207">
        <f>H1388/$H$1431</f>
        <v>0</v>
      </c>
    </row>
    <row r="1389" spans="1:10" s="166" customFormat="1" ht="12.75" customHeight="1">
      <c r="A1389" s="147">
        <f t="shared" si="73"/>
        <v>1295</v>
      </c>
      <c r="B1389" s="130"/>
      <c r="C1389" s="40" t="s">
        <v>374</v>
      </c>
      <c r="D1389" s="146"/>
      <c r="E1389" s="150"/>
      <c r="F1389" s="131">
        <f>SUM(F1391:F1392)</f>
        <v>301884</v>
      </c>
      <c r="G1389" s="131">
        <f>SUM(G1391:G1392)</f>
        <v>294776.91000000003</v>
      </c>
      <c r="H1389" s="131">
        <f>SUM(H1391:H1392)</f>
        <v>0</v>
      </c>
      <c r="I1389" s="207">
        <f t="shared" si="72"/>
        <v>0</v>
      </c>
      <c r="J1389" s="207">
        <f>H1389/$H$1431</f>
        <v>0</v>
      </c>
    </row>
    <row r="1390" spans="1:10" s="166" customFormat="1" ht="12.75" customHeight="1">
      <c r="A1390" s="147">
        <f t="shared" si="73"/>
        <v>1296</v>
      </c>
      <c r="B1390" s="130"/>
      <c r="C1390" s="40" t="s">
        <v>15</v>
      </c>
      <c r="D1390" s="146"/>
      <c r="E1390" s="150"/>
      <c r="F1390" s="131"/>
      <c r="G1390" s="131"/>
      <c r="H1390" s="131"/>
      <c r="I1390" s="207"/>
      <c r="J1390" s="207"/>
    </row>
    <row r="1391" spans="1:10" s="166" customFormat="1" ht="12.75" customHeight="1">
      <c r="A1391" s="147">
        <f t="shared" si="73"/>
        <v>1297</v>
      </c>
      <c r="B1391" s="130"/>
      <c r="C1391" s="40" t="s">
        <v>527</v>
      </c>
      <c r="D1391" s="146"/>
      <c r="E1391" s="150"/>
      <c r="F1391" s="131">
        <v>159053</v>
      </c>
      <c r="G1391" s="131">
        <v>151945.91</v>
      </c>
      <c r="H1391" s="131">
        <v>0</v>
      </c>
      <c r="I1391" s="207">
        <f t="shared" si="72"/>
        <v>0</v>
      </c>
      <c r="J1391" s="207">
        <f>H1391/$H$1431</f>
        <v>0</v>
      </c>
    </row>
    <row r="1392" spans="1:10" s="166" customFormat="1" ht="12.75" customHeight="1">
      <c r="A1392" s="147">
        <f t="shared" si="73"/>
        <v>1298</v>
      </c>
      <c r="B1392" s="130"/>
      <c r="C1392" s="40" t="s">
        <v>528</v>
      </c>
      <c r="D1392" s="146"/>
      <c r="E1392" s="150"/>
      <c r="F1392" s="131">
        <v>142831</v>
      </c>
      <c r="G1392" s="131">
        <v>142831</v>
      </c>
      <c r="H1392" s="131">
        <v>0</v>
      </c>
      <c r="I1392" s="207">
        <f t="shared" si="72"/>
        <v>0</v>
      </c>
      <c r="J1392" s="207">
        <f>H1392/$H$1431</f>
        <v>0</v>
      </c>
    </row>
    <row r="1393" spans="1:10" s="73" customFormat="1" ht="12.75" customHeight="1">
      <c r="A1393" s="147">
        <f t="shared" si="73"/>
        <v>1299</v>
      </c>
      <c r="B1393" s="85">
        <v>6800</v>
      </c>
      <c r="C1393" s="79" t="s">
        <v>303</v>
      </c>
      <c r="D1393" s="63"/>
      <c r="E1393" s="72"/>
      <c r="F1393" s="136"/>
      <c r="G1393" s="136"/>
      <c r="H1393" s="136"/>
      <c r="I1393" s="207"/>
      <c r="J1393" s="207"/>
    </row>
    <row r="1394" spans="1:10" s="73" customFormat="1" ht="12.75" customHeight="1">
      <c r="A1394" s="147">
        <f t="shared" si="73"/>
        <v>1300</v>
      </c>
      <c r="B1394" s="85"/>
      <c r="C1394" s="79" t="s">
        <v>383</v>
      </c>
      <c r="D1394" s="63"/>
      <c r="E1394" s="72"/>
      <c r="F1394" s="136"/>
      <c r="G1394" s="136"/>
      <c r="H1394" s="136"/>
      <c r="I1394" s="207"/>
      <c r="J1394" s="207"/>
    </row>
    <row r="1395" spans="1:10" s="73" customFormat="1" ht="12.75" customHeight="1">
      <c r="A1395" s="147">
        <f t="shared" si="73"/>
        <v>1301</v>
      </c>
      <c r="B1395" s="85"/>
      <c r="C1395" s="79" t="s">
        <v>384</v>
      </c>
      <c r="D1395" s="63"/>
      <c r="E1395" s="72"/>
      <c r="F1395" s="136"/>
      <c r="G1395" s="136"/>
      <c r="H1395" s="136"/>
      <c r="I1395" s="207"/>
      <c r="J1395" s="207"/>
    </row>
    <row r="1396" spans="1:10" s="73" customFormat="1" ht="12.75" customHeight="1">
      <c r="A1396" s="147">
        <f t="shared" si="73"/>
        <v>1302</v>
      </c>
      <c r="B1396" s="85"/>
      <c r="C1396" s="79" t="s">
        <v>385</v>
      </c>
      <c r="D1396" s="63"/>
      <c r="E1396" s="72"/>
      <c r="F1396" s="136">
        <v>107169</v>
      </c>
      <c r="G1396" s="136">
        <v>0</v>
      </c>
      <c r="H1396" s="136">
        <v>0</v>
      </c>
      <c r="I1396" s="207"/>
      <c r="J1396" s="207">
        <f>H1396/$H$1431</f>
        <v>0</v>
      </c>
    </row>
    <row r="1397" spans="1:10" s="73" customFormat="1" ht="12.75">
      <c r="A1397" s="147">
        <f t="shared" si="73"/>
        <v>1303</v>
      </c>
      <c r="B1397" s="62">
        <v>92195</v>
      </c>
      <c r="C1397" s="68" t="s">
        <v>25</v>
      </c>
      <c r="D1397" s="63"/>
      <c r="E1397" s="64" t="e">
        <f>#REF!+#REF!+#REF!</f>
        <v>#REF!</v>
      </c>
      <c r="F1397" s="63">
        <f>F1402+F1403</f>
        <v>5760453.01</v>
      </c>
      <c r="G1397" s="63">
        <f>G1402+G1403</f>
        <v>5760453.01</v>
      </c>
      <c r="H1397" s="63">
        <f>H1402+H1403</f>
        <v>3650000</v>
      </c>
      <c r="I1397" s="207">
        <f t="shared" si="72"/>
        <v>0.6336307220393419</v>
      </c>
      <c r="J1397" s="207">
        <f>H1397/$H$1431</f>
        <v>0.054492653059328565</v>
      </c>
    </row>
    <row r="1398" spans="1:10" ht="12.75">
      <c r="A1398" s="147">
        <f t="shared" si="73"/>
        <v>1304</v>
      </c>
      <c r="B1398" s="4">
        <v>6010</v>
      </c>
      <c r="C1398" s="103" t="s">
        <v>450</v>
      </c>
      <c r="D1398" s="25"/>
      <c r="E1398" s="46"/>
      <c r="F1398" s="131"/>
      <c r="G1398" s="131"/>
      <c r="H1398" s="131"/>
      <c r="I1398" s="207"/>
      <c r="J1398" s="207"/>
    </row>
    <row r="1399" spans="1:10" ht="12.75">
      <c r="A1399" s="147">
        <f t="shared" si="73"/>
        <v>1305</v>
      </c>
      <c r="B1399" s="4"/>
      <c r="C1399" s="103" t="s">
        <v>451</v>
      </c>
      <c r="D1399" s="25"/>
      <c r="E1399" s="46"/>
      <c r="F1399" s="131"/>
      <c r="G1399" s="131"/>
      <c r="H1399" s="131"/>
      <c r="I1399" s="207"/>
      <c r="J1399" s="207"/>
    </row>
    <row r="1400" spans="1:10" ht="12.75">
      <c r="A1400" s="147">
        <f t="shared" si="73"/>
        <v>1306</v>
      </c>
      <c r="B1400" s="4"/>
      <c r="C1400" s="79" t="s">
        <v>452</v>
      </c>
      <c r="D1400" s="25"/>
      <c r="E1400" s="46">
        <v>27500</v>
      </c>
      <c r="F1400" s="131"/>
      <c r="G1400" s="131"/>
      <c r="H1400" s="131"/>
      <c r="I1400" s="207"/>
      <c r="J1400" s="207"/>
    </row>
    <row r="1401" spans="1:10" ht="12.75">
      <c r="A1401" s="147">
        <f t="shared" si="73"/>
        <v>1307</v>
      </c>
      <c r="B1401" s="4"/>
      <c r="C1401" s="79" t="s">
        <v>530</v>
      </c>
      <c r="D1401" s="164"/>
      <c r="E1401" s="46"/>
      <c r="F1401" s="131"/>
      <c r="G1401" s="131"/>
      <c r="H1401" s="131"/>
      <c r="I1401" s="207"/>
      <c r="J1401" s="207"/>
    </row>
    <row r="1402" spans="1:10" ht="12.75">
      <c r="A1402" s="147">
        <f t="shared" si="73"/>
        <v>1308</v>
      </c>
      <c r="B1402" s="4"/>
      <c r="C1402" s="79" t="s">
        <v>529</v>
      </c>
      <c r="D1402" s="164"/>
      <c r="E1402" s="46"/>
      <c r="F1402" s="131">
        <v>50000</v>
      </c>
      <c r="G1402" s="131">
        <v>50000</v>
      </c>
      <c r="H1402" s="131">
        <v>0</v>
      </c>
      <c r="I1402" s="207">
        <f t="shared" si="72"/>
        <v>0</v>
      </c>
      <c r="J1402" s="207">
        <f>H1402/$H$1431</f>
        <v>0</v>
      </c>
    </row>
    <row r="1403" spans="1:10" ht="12.75">
      <c r="A1403" s="147">
        <f t="shared" si="73"/>
        <v>1309</v>
      </c>
      <c r="B1403" s="4">
        <v>6050</v>
      </c>
      <c r="C1403" s="79" t="s">
        <v>182</v>
      </c>
      <c r="D1403" s="164"/>
      <c r="E1403" s="46"/>
      <c r="F1403" s="131">
        <f>SUM(F1405:F1407)</f>
        <v>5710453.01</v>
      </c>
      <c r="G1403" s="131">
        <f>SUM(G1405:G1407)</f>
        <v>5710453.01</v>
      </c>
      <c r="H1403" s="131">
        <f>SUM(H1405:H1407)</f>
        <v>3650000</v>
      </c>
      <c r="I1403" s="207">
        <f t="shared" si="72"/>
        <v>0.639178712023059</v>
      </c>
      <c r="J1403" s="207">
        <f>H1403/$H$1431</f>
        <v>0.054492653059328565</v>
      </c>
    </row>
    <row r="1404" spans="1:10" ht="12.75">
      <c r="A1404" s="147">
        <f t="shared" si="73"/>
        <v>1310</v>
      </c>
      <c r="B1404" s="4"/>
      <c r="C1404" s="79" t="s">
        <v>15</v>
      </c>
      <c r="D1404" s="164"/>
      <c r="E1404" s="46"/>
      <c r="F1404" s="131"/>
      <c r="G1404" s="131"/>
      <c r="H1404" s="131"/>
      <c r="I1404" s="207"/>
      <c r="J1404" s="207"/>
    </row>
    <row r="1405" spans="1:10" ht="12.75">
      <c r="A1405" s="147">
        <f t="shared" si="73"/>
        <v>1311</v>
      </c>
      <c r="B1405" s="4"/>
      <c r="C1405" s="79" t="s">
        <v>421</v>
      </c>
      <c r="D1405" s="164"/>
      <c r="E1405" s="46"/>
      <c r="F1405" s="131">
        <v>5710396</v>
      </c>
      <c r="G1405" s="131">
        <v>5710396</v>
      </c>
      <c r="H1405" s="131">
        <v>3500000</v>
      </c>
      <c r="I1405" s="207">
        <f t="shared" si="72"/>
        <v>0.6129172127467167</v>
      </c>
      <c r="J1405" s="207">
        <f>H1405/$H$1431</f>
        <v>0.052253228960999994</v>
      </c>
    </row>
    <row r="1406" spans="1:10" ht="12.75">
      <c r="A1406" s="147">
        <f t="shared" si="73"/>
        <v>1312</v>
      </c>
      <c r="B1406" s="4"/>
      <c r="C1406" s="79" t="s">
        <v>376</v>
      </c>
      <c r="D1406" s="164"/>
      <c r="E1406" s="46"/>
      <c r="F1406" s="131">
        <v>57.01</v>
      </c>
      <c r="G1406" s="131">
        <v>57.01</v>
      </c>
      <c r="H1406" s="131">
        <v>0</v>
      </c>
      <c r="I1406" s="207">
        <f t="shared" si="72"/>
        <v>0</v>
      </c>
      <c r="J1406" s="207">
        <f>H1406/$H$1431</f>
        <v>0</v>
      </c>
    </row>
    <row r="1407" spans="1:10" ht="12.75">
      <c r="A1407" s="147">
        <f t="shared" si="73"/>
        <v>1313</v>
      </c>
      <c r="B1407" s="4"/>
      <c r="C1407" s="79" t="s">
        <v>661</v>
      </c>
      <c r="D1407" s="164"/>
      <c r="E1407" s="46"/>
      <c r="F1407" s="131">
        <v>0</v>
      </c>
      <c r="G1407" s="131">
        <v>0</v>
      </c>
      <c r="H1407" s="131">
        <v>150000</v>
      </c>
      <c r="I1407" s="207"/>
      <c r="J1407" s="207">
        <f>H1407/$H$1431</f>
        <v>0.0022394240983285713</v>
      </c>
    </row>
    <row r="1408" spans="1:10" s="70" customFormat="1" ht="12.75">
      <c r="A1408" s="147">
        <f t="shared" si="73"/>
        <v>1314</v>
      </c>
      <c r="B1408" s="56">
        <v>926</v>
      </c>
      <c r="C1408" s="78" t="s">
        <v>145</v>
      </c>
      <c r="D1408" s="86"/>
      <c r="E1408" s="58" t="e">
        <f>E1409</f>
        <v>#REF!</v>
      </c>
      <c r="F1408" s="58">
        <f>F1409</f>
        <v>243340</v>
      </c>
      <c r="G1408" s="58">
        <f>G1409</f>
        <v>243293</v>
      </c>
      <c r="H1408" s="58">
        <f>H1409</f>
        <v>1125840</v>
      </c>
      <c r="I1408" s="207">
        <f t="shared" si="72"/>
        <v>4.627506751119021</v>
      </c>
      <c r="J1408" s="207">
        <f>H1408/$H$1431</f>
        <v>0.016808221512414925</v>
      </c>
    </row>
    <row r="1409" spans="1:10" s="73" customFormat="1" ht="12.75">
      <c r="A1409" s="147">
        <f t="shared" si="73"/>
        <v>1315</v>
      </c>
      <c r="B1409" s="62">
        <v>92695</v>
      </c>
      <c r="C1409" s="68" t="s">
        <v>25</v>
      </c>
      <c r="D1409" s="87"/>
      <c r="E1409" s="63" t="e">
        <f>E1413+#REF!+#REF!</f>
        <v>#REF!</v>
      </c>
      <c r="F1409" s="63">
        <f>+F1410+F1411+F1412+F1413+F1414+F1415+F1416+F1421+F1422+F1423+F1424+F1427+F1428</f>
        <v>243340</v>
      </c>
      <c r="G1409" s="63">
        <f>+G1410+G1411+G1412+G1413+G1414+G1415+G1416+G1421+G1422+G1423+G1424+G1427+G1428</f>
        <v>243293</v>
      </c>
      <c r="H1409" s="63">
        <f>+H1410+H1411+H1412+H1413+H1414+H1415+H1416+H1421+H1422+H1423+H1424+H1427+H1428</f>
        <v>1125840</v>
      </c>
      <c r="I1409" s="207">
        <f t="shared" si="72"/>
        <v>4.627506751119021</v>
      </c>
      <c r="J1409" s="207">
        <f>H1409/$H$1431</f>
        <v>0.016808221512414925</v>
      </c>
    </row>
    <row r="1410" spans="1:10" s="190" customFormat="1" ht="12.75">
      <c r="A1410" s="147">
        <f t="shared" si="73"/>
        <v>1316</v>
      </c>
      <c r="B1410" s="201">
        <v>3030</v>
      </c>
      <c r="C1410" s="40" t="s">
        <v>623</v>
      </c>
      <c r="D1410" s="221"/>
      <c r="E1410" s="137"/>
      <c r="F1410" s="173">
        <v>0</v>
      </c>
      <c r="G1410" s="173">
        <v>0</v>
      </c>
      <c r="H1410" s="173">
        <v>5000</v>
      </c>
      <c r="I1410" s="207"/>
      <c r="J1410" s="207"/>
    </row>
    <row r="1411" spans="1:10" s="60" customFormat="1" ht="12.75">
      <c r="A1411" s="147">
        <f t="shared" si="73"/>
        <v>1317</v>
      </c>
      <c r="B1411" s="85">
        <v>3250</v>
      </c>
      <c r="C1411" s="79" t="s">
        <v>361</v>
      </c>
      <c r="D1411" s="128"/>
      <c r="E1411" s="84"/>
      <c r="F1411" s="136">
        <v>65000</v>
      </c>
      <c r="G1411" s="136">
        <v>65000</v>
      </c>
      <c r="H1411" s="136">
        <v>75000</v>
      </c>
      <c r="I1411" s="207">
        <f t="shared" si="72"/>
        <v>1.1538461538461537</v>
      </c>
      <c r="J1411" s="207">
        <f aca="true" t="shared" si="74" ref="J1411:J1416">H1411/$H$1431</f>
        <v>0.0011197120491642856</v>
      </c>
    </row>
    <row r="1412" spans="1:10" ht="12.75">
      <c r="A1412" s="147">
        <f t="shared" si="73"/>
        <v>1318</v>
      </c>
      <c r="B1412" s="4">
        <v>4110</v>
      </c>
      <c r="C1412" s="79" t="s">
        <v>255</v>
      </c>
      <c r="E1412" s="45"/>
      <c r="F1412" s="136">
        <v>7000</v>
      </c>
      <c r="G1412" s="136">
        <v>7000</v>
      </c>
      <c r="H1412" s="136">
        <v>7000</v>
      </c>
      <c r="I1412" s="207">
        <f t="shared" si="72"/>
        <v>1</v>
      </c>
      <c r="J1412" s="207">
        <f t="shared" si="74"/>
        <v>0.00010450645792199998</v>
      </c>
    </row>
    <row r="1413" spans="1:10" ht="12.75">
      <c r="A1413" s="147">
        <f t="shared" si="73"/>
        <v>1319</v>
      </c>
      <c r="B1413" s="4">
        <v>4120</v>
      </c>
      <c r="C1413" s="79" t="s">
        <v>256</v>
      </c>
      <c r="E1413" s="45" t="e">
        <f>SUM(#REF!)</f>
        <v>#REF!</v>
      </c>
      <c r="F1413" s="136">
        <v>1040</v>
      </c>
      <c r="G1413" s="136">
        <v>1040</v>
      </c>
      <c r="H1413" s="136">
        <v>1040</v>
      </c>
      <c r="I1413" s="207">
        <f t="shared" si="72"/>
        <v>1</v>
      </c>
      <c r="J1413" s="207">
        <f t="shared" si="74"/>
        <v>1.5526673748411425E-05</v>
      </c>
    </row>
    <row r="1414" spans="1:10" ht="12.75">
      <c r="A1414" s="147">
        <f t="shared" si="73"/>
        <v>1320</v>
      </c>
      <c r="B1414" s="37">
        <v>4170</v>
      </c>
      <c r="C1414" s="103" t="s">
        <v>257</v>
      </c>
      <c r="E1414" s="88"/>
      <c r="F1414" s="136">
        <v>49000</v>
      </c>
      <c r="G1414" s="136">
        <v>49000</v>
      </c>
      <c r="H1414" s="136">
        <f>55000+5000</f>
        <v>60000</v>
      </c>
      <c r="I1414" s="207">
        <f t="shared" si="72"/>
        <v>1.2244897959183674</v>
      </c>
      <c r="J1414" s="207">
        <f t="shared" si="74"/>
        <v>0.0008957696393314284</v>
      </c>
    </row>
    <row r="1415" spans="1:10" ht="12.75">
      <c r="A1415" s="147">
        <f t="shared" si="73"/>
        <v>1321</v>
      </c>
      <c r="B1415" s="37">
        <v>4210</v>
      </c>
      <c r="C1415" s="103" t="s">
        <v>258</v>
      </c>
      <c r="E1415" s="88"/>
      <c r="F1415" s="136">
        <v>34960</v>
      </c>
      <c r="G1415" s="136">
        <v>34960</v>
      </c>
      <c r="H1415" s="136">
        <v>45000</v>
      </c>
      <c r="I1415" s="207">
        <f t="shared" si="72"/>
        <v>1.2871853546910754</v>
      </c>
      <c r="J1415" s="207">
        <f t="shared" si="74"/>
        <v>0.0006718272294985714</v>
      </c>
    </row>
    <row r="1416" spans="1:10" ht="12.75">
      <c r="A1416" s="147">
        <f t="shared" si="73"/>
        <v>1322</v>
      </c>
      <c r="B1416" s="37">
        <v>4300</v>
      </c>
      <c r="C1416" s="79" t="s">
        <v>130</v>
      </c>
      <c r="E1416" s="88"/>
      <c r="F1416" s="136">
        <f>SUM(F1418:F1419)</f>
        <v>62000</v>
      </c>
      <c r="G1416" s="136">
        <f>SUM(G1418:G1419)</f>
        <v>62000</v>
      </c>
      <c r="H1416" s="136">
        <f>SUM(H1418:H1419)</f>
        <v>421000</v>
      </c>
      <c r="I1416" s="207">
        <f t="shared" si="72"/>
        <v>6.790322580645161</v>
      </c>
      <c r="J1416" s="207">
        <f t="shared" si="74"/>
        <v>0.006285316969308856</v>
      </c>
    </row>
    <row r="1417" spans="1:10" ht="12.75">
      <c r="A1417" s="147">
        <f t="shared" si="73"/>
        <v>1323</v>
      </c>
      <c r="B1417" s="37"/>
      <c r="C1417" s="79" t="s">
        <v>15</v>
      </c>
      <c r="E1417" s="88"/>
      <c r="F1417" s="136"/>
      <c r="G1417" s="136"/>
      <c r="H1417" s="136"/>
      <c r="I1417" s="207"/>
      <c r="J1417" s="207"/>
    </row>
    <row r="1418" spans="1:10" ht="12.75">
      <c r="A1418" s="147">
        <f t="shared" si="73"/>
        <v>1324</v>
      </c>
      <c r="B1418" s="37"/>
      <c r="C1418" s="79" t="s">
        <v>621</v>
      </c>
      <c r="E1418" s="88"/>
      <c r="F1418" s="136">
        <v>62000</v>
      </c>
      <c r="G1418" s="136">
        <v>62000</v>
      </c>
      <c r="H1418" s="136">
        <v>55000</v>
      </c>
      <c r="I1418" s="207">
        <f t="shared" si="72"/>
        <v>0.8870967741935484</v>
      </c>
      <c r="J1418" s="207">
        <f>H1418/$H$1431</f>
        <v>0.0008211221693871427</v>
      </c>
    </row>
    <row r="1419" spans="1:10" ht="12.75">
      <c r="A1419" s="147">
        <f t="shared" si="73"/>
        <v>1325</v>
      </c>
      <c r="B1419" s="37"/>
      <c r="C1419" s="79" t="s">
        <v>622</v>
      </c>
      <c r="E1419" s="88"/>
      <c r="F1419" s="136">
        <v>0</v>
      </c>
      <c r="G1419" s="136">
        <v>0</v>
      </c>
      <c r="H1419" s="136">
        <v>366000</v>
      </c>
      <c r="I1419" s="207"/>
      <c r="J1419" s="207">
        <f>H1419/$H$1431</f>
        <v>0.005464194799921713</v>
      </c>
    </row>
    <row r="1420" spans="1:10" ht="12.75">
      <c r="A1420" s="147">
        <f t="shared" si="73"/>
        <v>1326</v>
      </c>
      <c r="B1420" s="152">
        <v>4400</v>
      </c>
      <c r="C1420" s="79" t="s">
        <v>346</v>
      </c>
      <c r="E1420" s="88"/>
      <c r="F1420" s="136"/>
      <c r="G1420" s="136"/>
      <c r="H1420" s="136"/>
      <c r="I1420" s="207"/>
      <c r="J1420" s="207"/>
    </row>
    <row r="1421" spans="1:10" ht="12.75">
      <c r="A1421" s="147">
        <f t="shared" si="73"/>
        <v>1327</v>
      </c>
      <c r="B1421" s="152"/>
      <c r="C1421" s="79" t="s">
        <v>345</v>
      </c>
      <c r="E1421" s="88"/>
      <c r="F1421" s="136">
        <v>1000</v>
      </c>
      <c r="G1421" s="136">
        <v>1000</v>
      </c>
      <c r="H1421" s="136">
        <v>0</v>
      </c>
      <c r="I1421" s="207">
        <f t="shared" si="72"/>
        <v>0</v>
      </c>
      <c r="J1421" s="207">
        <f>H1421/$H$1431</f>
        <v>0</v>
      </c>
    </row>
    <row r="1422" spans="1:10" ht="12.75">
      <c r="A1422" s="147">
        <f t="shared" si="73"/>
        <v>1328</v>
      </c>
      <c r="B1422" s="37">
        <v>4410</v>
      </c>
      <c r="C1422" s="79" t="s">
        <v>259</v>
      </c>
      <c r="E1422" s="88"/>
      <c r="F1422" s="136">
        <v>3000</v>
      </c>
      <c r="G1422" s="136">
        <v>3000</v>
      </c>
      <c r="H1422" s="136">
        <v>0</v>
      </c>
      <c r="I1422" s="207">
        <f t="shared" si="72"/>
        <v>0</v>
      </c>
      <c r="J1422" s="207">
        <f>H1422/$H$1431</f>
        <v>0</v>
      </c>
    </row>
    <row r="1423" spans="1:10" ht="12.75">
      <c r="A1423" s="147">
        <f t="shared" si="73"/>
        <v>1329</v>
      </c>
      <c r="B1423" s="37">
        <v>4430</v>
      </c>
      <c r="C1423" s="79" t="s">
        <v>260</v>
      </c>
      <c r="E1423" s="88"/>
      <c r="F1423" s="136">
        <v>7000</v>
      </c>
      <c r="G1423" s="136">
        <v>7000</v>
      </c>
      <c r="H1423" s="136">
        <v>7000</v>
      </c>
      <c r="I1423" s="207">
        <f t="shared" si="72"/>
        <v>1</v>
      </c>
      <c r="J1423" s="207">
        <f>H1423/$H$1431</f>
        <v>0.00010450645792199998</v>
      </c>
    </row>
    <row r="1424" spans="1:10" ht="12.75">
      <c r="A1424" s="147">
        <f t="shared" si="73"/>
        <v>1330</v>
      </c>
      <c r="B1424" s="152">
        <v>4480</v>
      </c>
      <c r="C1424" s="79" t="s">
        <v>285</v>
      </c>
      <c r="E1424" s="88"/>
      <c r="F1424" s="136">
        <v>4800</v>
      </c>
      <c r="G1424" s="136">
        <v>4753</v>
      </c>
      <c r="H1424" s="136">
        <v>4800</v>
      </c>
      <c r="I1424" s="207">
        <f t="shared" si="72"/>
        <v>1.0098884914790658</v>
      </c>
      <c r="J1424" s="207">
        <f>H1424/$H$1431</f>
        <v>7.166157114651427E-05</v>
      </c>
    </row>
    <row r="1425" spans="1:10" ht="12.75">
      <c r="A1425" s="147">
        <f t="shared" si="73"/>
        <v>1331</v>
      </c>
      <c r="B1425" s="152">
        <v>6050</v>
      </c>
      <c r="C1425" s="79" t="s">
        <v>182</v>
      </c>
      <c r="E1425" s="88"/>
      <c r="F1425" s="136"/>
      <c r="G1425" s="136"/>
      <c r="H1425" s="136"/>
      <c r="I1425" s="207"/>
      <c r="J1425" s="207"/>
    </row>
    <row r="1426" spans="1:10" ht="12.75">
      <c r="A1426" s="147">
        <f t="shared" si="73"/>
        <v>1332</v>
      </c>
      <c r="B1426" s="152"/>
      <c r="C1426" s="79" t="s">
        <v>679</v>
      </c>
      <c r="E1426" s="88"/>
      <c r="F1426" s="136"/>
      <c r="G1426" s="136"/>
      <c r="H1426" s="136"/>
      <c r="I1426" s="207"/>
      <c r="J1426" s="207"/>
    </row>
    <row r="1427" spans="1:10" ht="12.75">
      <c r="A1427" s="147">
        <f t="shared" si="73"/>
        <v>1333</v>
      </c>
      <c r="B1427" s="152"/>
      <c r="C1427" s="79" t="s">
        <v>680</v>
      </c>
      <c r="E1427" s="88"/>
      <c r="F1427" s="136">
        <v>0</v>
      </c>
      <c r="G1427" s="136">
        <v>0</v>
      </c>
      <c r="H1427" s="136">
        <v>500000</v>
      </c>
      <c r="I1427" s="207"/>
      <c r="J1427" s="207">
        <f>H1427/$H$1431</f>
        <v>0.00746474699442857</v>
      </c>
    </row>
    <row r="1428" spans="1:10" s="37" customFormat="1" ht="12.75">
      <c r="A1428" s="147">
        <f t="shared" si="73"/>
        <v>1334</v>
      </c>
      <c r="B1428" s="37">
        <v>6060</v>
      </c>
      <c r="C1428" s="79" t="s">
        <v>379</v>
      </c>
      <c r="D1428" s="38"/>
      <c r="E1428" s="88"/>
      <c r="F1428" s="28">
        <f>SUM(F1430:F1430)</f>
        <v>8540</v>
      </c>
      <c r="G1428" s="28">
        <f>SUM(G1430:G1430)</f>
        <v>8540</v>
      </c>
      <c r="H1428" s="28">
        <f>SUM(H1430:H1430)</f>
        <v>0</v>
      </c>
      <c r="I1428" s="207">
        <f>H1428/G1428</f>
        <v>0</v>
      </c>
      <c r="J1428" s="207">
        <f>H1428/$H$1431</f>
        <v>0</v>
      </c>
    </row>
    <row r="1429" spans="1:10" s="37" customFormat="1" ht="12.75">
      <c r="A1429" s="147">
        <f t="shared" si="73"/>
        <v>1335</v>
      </c>
      <c r="C1429" s="79" t="s">
        <v>15</v>
      </c>
      <c r="D1429" s="38"/>
      <c r="E1429" s="88"/>
      <c r="F1429" s="131"/>
      <c r="G1429" s="131"/>
      <c r="H1429" s="131"/>
      <c r="I1429" s="207"/>
      <c r="J1429" s="207"/>
    </row>
    <row r="1430" spans="1:10" s="37" customFormat="1" ht="12.75">
      <c r="A1430" s="147">
        <f t="shared" si="73"/>
        <v>1336</v>
      </c>
      <c r="C1430" s="79" t="s">
        <v>531</v>
      </c>
      <c r="D1430" s="38"/>
      <c r="E1430" s="88"/>
      <c r="F1430" s="131">
        <v>8540</v>
      </c>
      <c r="G1430" s="131">
        <v>8540</v>
      </c>
      <c r="H1430" s="131">
        <v>0</v>
      </c>
      <c r="I1430" s="208">
        <f>H1430/G1430</f>
        <v>0</v>
      </c>
      <c r="J1430" s="207">
        <f>H1430/$H$1431</f>
        <v>0</v>
      </c>
    </row>
    <row r="1431" spans="1:10" s="70" customFormat="1" ht="12.75">
      <c r="A1431" s="158">
        <f t="shared" si="73"/>
        <v>1337</v>
      </c>
      <c r="B1431" s="123"/>
      <c r="C1431" s="124" t="s">
        <v>147</v>
      </c>
      <c r="D1431" s="125"/>
      <c r="E1431" s="126" t="e">
        <f>E1408++E1367+E1245+E1179+#REF!+E974+E649+E638+E624+E546+E527+E329+E300+E250+E175+E102+E69</f>
        <v>#REF!</v>
      </c>
      <c r="F1431" s="145">
        <f>F1408+F1367+F1245+F1179+F1157+F1017+F974+F649+F638+F624+F546+F527+F329+F300+F250+F175+F102+F92+F69</f>
        <v>73933683.12</v>
      </c>
      <c r="G1431" s="145">
        <f>G1408+G1367+G1245+G1179+G1157+G1017+G974+G649+G638+G624+G546+G527+G329+G300+G250+G175+G102+G92+G69</f>
        <v>53921706.35</v>
      </c>
      <c r="H1431" s="145">
        <f>H1408+H1367+H1245+H1179+H1157+H1017+H974+H649+H638+H624+H546+H527+H329+H300+H250+H175+H102+H92+H69</f>
        <v>66981506.59</v>
      </c>
      <c r="I1431" s="208">
        <f>H1431/G1431</f>
        <v>1.2421993131157654</v>
      </c>
      <c r="J1431" s="211">
        <f>H1431/$H$1431</f>
        <v>1</v>
      </c>
    </row>
  </sheetData>
  <printOptions/>
  <pageMargins left="0.07874015748031496" right="0" top="0.7086614173228347" bottom="0.5118110236220472" header="0.31496062992125984" footer="0.11811023622047245"/>
  <pageSetup horizontalDpi="600" verticalDpi="600" orientation="portrait" paperSize="9" scale="95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2008-11-13T10:26:25Z</cp:lastPrinted>
  <dcterms:created xsi:type="dcterms:W3CDTF">2000-10-12T12:51:35Z</dcterms:created>
  <dcterms:modified xsi:type="dcterms:W3CDTF">2008-11-13T10:26:43Z</dcterms:modified>
  <cp:category/>
  <cp:version/>
  <cp:contentType/>
  <cp:contentStatus/>
</cp:coreProperties>
</file>