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<sst xmlns="http://schemas.openxmlformats.org/spreadsheetml/2006/main" count="1290" uniqueCount="687">
  <si>
    <t>a) zestawienie wydatków wg działów</t>
  </si>
  <si>
    <t>Przewidywane</t>
  </si>
  <si>
    <t>%</t>
  </si>
  <si>
    <t>Struktura</t>
  </si>
  <si>
    <t>Lp.</t>
  </si>
  <si>
    <t xml:space="preserve">                      Treść</t>
  </si>
  <si>
    <t>Wykonanie</t>
  </si>
  <si>
    <t>w roku 1997r.</t>
  </si>
  <si>
    <t>OŚWIATA  I  WYCHOWANIE</t>
  </si>
  <si>
    <t>OCHRONA  ZDROWIA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</si>
  <si>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</si>
  <si>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</si>
  <si>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</si>
  <si>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</si>
  <si>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</si>
  <si>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</si>
  <si>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</si>
  <si>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</si>
  <si>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oznakowanie  i urządz.zabezp.ulic</t>
  </si>
  <si>
    <t>inne</t>
  </si>
  <si>
    <t>miasto</t>
  </si>
  <si>
    <t>plaża</t>
  </si>
  <si>
    <t>remont zejścia na plażę Lubiewo</t>
  </si>
  <si>
    <t>sołectwa</t>
  </si>
  <si>
    <t>odkomarzanie</t>
  </si>
  <si>
    <t>Pozostała działalność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</si>
  <si>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</si>
  <si>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</si>
  <si>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</si>
  <si>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</si>
  <si>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</si>
  <si>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</si>
  <si>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</si>
  <si>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</si>
  <si>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</si>
  <si>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</si>
  <si>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</si>
  <si>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wykazy zmian gruntowych</t>
  </si>
  <si>
    <t>wyceny nieruchomości /mieszkaniówka/</t>
  </si>
  <si>
    <t>wyceny nieruchomości/geodezja/</t>
  </si>
  <si>
    <t>różne opłaty i składki</t>
  </si>
  <si>
    <t>nagrody i wydatki osob.nie zaliczane...</t>
  </si>
  <si>
    <t>stypendia różne</t>
  </si>
  <si>
    <t>podróże służbowe zagraniczne</t>
  </si>
  <si>
    <t>odpisy na zakł.fund.św.socjalnych</t>
  </si>
  <si>
    <t>składki na ubezpieczenia sopłeczne</t>
  </si>
  <si>
    <t>odpisy na zakład.fund.świadcz.socjal.</t>
  </si>
  <si>
    <t>Dowożenie uczniów do szkół</t>
  </si>
  <si>
    <t>gimnazjum</t>
  </si>
  <si>
    <t>odpisy na zakład.fund.św.socjalnych</t>
  </si>
  <si>
    <t>Biblioteki</t>
  </si>
  <si>
    <t>Przeciwdziałanie alkoholizmowi</t>
  </si>
  <si>
    <t>szkolenia</t>
  </si>
  <si>
    <t>odpisy na zakład. fundusz św.socjal.</t>
  </si>
  <si>
    <t>świadczenia społeczne</t>
  </si>
  <si>
    <t>zadania zlecone</t>
  </si>
  <si>
    <t>zadania własne</t>
  </si>
  <si>
    <t>podóże służbowe krajowe</t>
  </si>
  <si>
    <t>delegacje</t>
  </si>
  <si>
    <t>delegacje samochodowe</t>
  </si>
  <si>
    <t>opłaty pocztowe</t>
  </si>
  <si>
    <t>składki na ubezpiecznia społeczne</t>
  </si>
  <si>
    <t>odpisy na zakład. fundusz świad. socj.</t>
  </si>
  <si>
    <t>Dodatki mieszkaniowe</t>
  </si>
  <si>
    <t>ratownicy/kąpielisko strzeżone/</t>
  </si>
  <si>
    <t>Związek Miast i Gmin Morskich</t>
  </si>
  <si>
    <t>Urzędy wojewódzkie</t>
  </si>
  <si>
    <t>Dodatkowe wynagrodzenie roczne</t>
  </si>
  <si>
    <t>Podróże służbowe krajowe</t>
  </si>
  <si>
    <t>Składki na ubezpieczenie społeczne</t>
  </si>
  <si>
    <t>Składki na Fundusz Pracy</t>
  </si>
  <si>
    <t>Odpisy na zakład.fundusz św.socjal.</t>
  </si>
  <si>
    <t>Wynagrodzenia osobowe pracowników</t>
  </si>
  <si>
    <t>Różne wydatki na rzecz osób fiz.(diety)</t>
  </si>
  <si>
    <t>odzież ochronna i robocza</t>
  </si>
  <si>
    <t>okulary korygujące wzrok-praca z monitorem</t>
  </si>
  <si>
    <t>Różne wydatki na rzecz osób fizyczn.</t>
  </si>
  <si>
    <t>ryczałty</t>
  </si>
  <si>
    <t>Podróże służbowe zagraniczne</t>
  </si>
  <si>
    <t>materiały biurowe</t>
  </si>
  <si>
    <t>materiały biurowe - eksploatacyjne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</si>
  <si>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</si>
  <si>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</si>
  <si>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</si>
  <si>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</si>
  <si>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</si>
  <si>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</si>
  <si>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</si>
  <si>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naprawa i konserwacja maszyn</t>
  </si>
  <si>
    <t>wywóz nieczystości</t>
  </si>
  <si>
    <t>prowizja bankowa</t>
  </si>
  <si>
    <t>usługi komputerowe</t>
  </si>
  <si>
    <t>monitoring</t>
  </si>
  <si>
    <t>konserwacja systemu alarmowego</t>
  </si>
  <si>
    <t>Różne opłaty i składki</t>
  </si>
  <si>
    <t>PZU</t>
  </si>
  <si>
    <t>Odpisy na zakł.fun.świadczeń socj.</t>
  </si>
  <si>
    <t>Komisje poborowe</t>
  </si>
  <si>
    <t>opłata miejscowa</t>
  </si>
  <si>
    <t>opłata targowa</t>
  </si>
  <si>
    <t>inne podatki i opłaty</t>
  </si>
  <si>
    <t>zastępcza służba wojskowa</t>
  </si>
  <si>
    <t>paliwo</t>
  </si>
  <si>
    <t>Straż Miejska</t>
  </si>
  <si>
    <t>Odpisy na zakł.fund.św.socjal.</t>
  </si>
  <si>
    <t>Komendy powiatowe Policji</t>
  </si>
  <si>
    <t>RÓŻNE ROZLICZENIA</t>
  </si>
  <si>
    <t>Rezerwy ogólne i celowe</t>
  </si>
  <si>
    <t>rezerwy</t>
  </si>
  <si>
    <t>ogólna</t>
  </si>
  <si>
    <t>O10</t>
  </si>
  <si>
    <t>O1095</t>
  </si>
  <si>
    <t>TRANSPORT  I  ŁĄCZNOŚĆ</t>
  </si>
  <si>
    <t>ROLNICTWO I ŁOWIECTWO</t>
  </si>
  <si>
    <t>Drogi publiczne powiatowe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</si>
  <si>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</si>
  <si>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</si>
  <si>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</si>
  <si>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</si>
  <si>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</si>
  <si>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</si>
  <si>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</si>
  <si>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</si>
  <si>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</si>
  <si>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</si>
  <si>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</si>
  <si>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</si>
  <si>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</si>
  <si>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</si>
  <si>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</si>
  <si>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</si>
  <si>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</si>
  <si>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</si>
  <si>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</si>
  <si>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</si>
  <si>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</si>
  <si>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</si>
  <si>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</si>
  <si>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</si>
  <si>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</si>
  <si>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</si>
  <si>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</si>
  <si>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</si>
  <si>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</si>
  <si>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</si>
  <si>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</si>
  <si>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</si>
  <si>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</si>
  <si>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</si>
  <si>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</si>
  <si>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</si>
  <si>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</si>
  <si>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</si>
  <si>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</si>
  <si>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</si>
  <si>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zakup energii</t>
  </si>
  <si>
    <t>Wynagrodzenia agencyjno-prowizyjne</t>
  </si>
  <si>
    <t>odsetki i dyskonto od krajowych skarbowych</t>
  </si>
  <si>
    <t>papierów wart.oraz pożyczek i kredytów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</si>
  <si>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</si>
  <si>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</si>
  <si>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</si>
  <si>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</si>
  <si>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</si>
  <si>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budżetowych</t>
  </si>
  <si>
    <t>szkoła nr 1</t>
  </si>
  <si>
    <t>szkoła nr 2</t>
  </si>
  <si>
    <t>KULTURA FIZYCZNA I SPORT</t>
  </si>
  <si>
    <t xml:space="preserve">aktualizacja mapy </t>
  </si>
  <si>
    <t>OGÓŁEM</t>
  </si>
  <si>
    <t>KULTURA FIZYCZNA  I  SPORT</t>
  </si>
  <si>
    <t>dotacja przedmiotowa z budżetu dla zakładu</t>
  </si>
  <si>
    <t>usługi prawne i inne</t>
  </si>
  <si>
    <t>wydatki na zakupy inwestycyjne jedn.bud.</t>
  </si>
  <si>
    <t>kredyt w rachunku bieżącym</t>
  </si>
  <si>
    <t>Różne rozliczenia finansowe</t>
  </si>
  <si>
    <t>wpłaty gmin do budżetu państwa</t>
  </si>
  <si>
    <t>wpłaty na PFRON</t>
  </si>
  <si>
    <t>Wpłaty na PFRON</t>
  </si>
  <si>
    <t>remonty ulic w mieście i sołectwach</t>
  </si>
  <si>
    <t>remont chodników w mieście i sołectwach</t>
  </si>
  <si>
    <t>Składki na ubezpieczenia społeczne</t>
  </si>
  <si>
    <t>Plan  na  rok 2001</t>
  </si>
  <si>
    <t>przed</t>
  </si>
  <si>
    <t>zmianami</t>
  </si>
  <si>
    <t>kol.6/5</t>
  </si>
  <si>
    <t>O1030</t>
  </si>
  <si>
    <t>Izby rolnicze</t>
  </si>
  <si>
    <t>wpłaty gmin na rzecz izb rolniczych  w wysokości</t>
  </si>
  <si>
    <t>2% uzyskanych wpływów z podatku rolnego</t>
  </si>
  <si>
    <t>Cmentarze</t>
  </si>
  <si>
    <t>promocja</t>
  </si>
  <si>
    <t>inne opłaty</t>
  </si>
  <si>
    <t>pożyczka z WFOŚ na termomodernizację</t>
  </si>
  <si>
    <t xml:space="preserve">Szkoły podstawowe          </t>
  </si>
  <si>
    <t xml:space="preserve">Gimnazja                 </t>
  </si>
  <si>
    <t>wydatki na zakupy inwestycyjne jedn.budżet.</t>
  </si>
  <si>
    <t xml:space="preserve">Stołówki szkolne                </t>
  </si>
  <si>
    <t>Zakłady gospodarki komunalnej</t>
  </si>
  <si>
    <t xml:space="preserve">Stowarzysz.Gmin Polskich Euroregionu Pomerania </t>
  </si>
  <si>
    <t>wynagrodz.osob.prac.(nagrody dla dyrektorów)</t>
  </si>
  <si>
    <t xml:space="preserve">place zabaw </t>
  </si>
  <si>
    <t>toalety na odcinku od Gromady do Lubiewa</t>
  </si>
  <si>
    <t>plan zagospodarowania przestrzennego</t>
  </si>
  <si>
    <t>pozostałe odsetki</t>
  </si>
  <si>
    <t>Dokształcanie i doskonalenie nauczycieli</t>
  </si>
  <si>
    <t>przedszkole</t>
  </si>
  <si>
    <t>Składki na ubezpieczenie zdrowotne opłacane</t>
  </si>
  <si>
    <t>za osoby pobierające niektóre świadczenia</t>
  </si>
  <si>
    <t>składki na ubezpieczenie zdrowotne</t>
  </si>
  <si>
    <t>zakup energii (oświetlenie ulic)</t>
  </si>
  <si>
    <t>majątkowe(inwestycyjne)</t>
  </si>
  <si>
    <t>wydatki inwestycyjne jednostek budżetowych</t>
  </si>
  <si>
    <t>wskażnik</t>
  </si>
  <si>
    <t>Koszty postępowania sądowego i prokuratorsk.</t>
  </si>
  <si>
    <t>na ubezpieczenia społeczne</t>
  </si>
  <si>
    <t>wydatki inwestycyjne jedn.budżetowych</t>
  </si>
  <si>
    <t>połączenie nieruchomości</t>
  </si>
  <si>
    <t>wznowienie granic nieruchomości</t>
  </si>
  <si>
    <t>(diety sołtysów)</t>
  </si>
  <si>
    <t>zakup energii (kotłownia Urzędu)</t>
  </si>
  <si>
    <t>dot.celowe na fin.lub dofin.kosztow real.inw...</t>
  </si>
  <si>
    <t>ogłoszenia o przetargach i inne ogł./geodezja/</t>
  </si>
  <si>
    <t>ogłosz.o przetargach i in.ogł. /mieszkaniówka/</t>
  </si>
  <si>
    <t>POMOC  SPOŁECZNA</t>
  </si>
  <si>
    <t xml:space="preserve">Przedszkola </t>
  </si>
  <si>
    <t>akty normatywne</t>
  </si>
  <si>
    <t>konserwacja i modernizacja systemu łączności</t>
  </si>
  <si>
    <t>ogłoszenia o przetargach i inne ogłoszenia</t>
  </si>
  <si>
    <t>dofinans.opieki nad dziećmi w ramach GPPiRPA</t>
  </si>
  <si>
    <t>decyzje o warunkach zabudowy</t>
  </si>
  <si>
    <t>aktual.progr.komputer. i usługi serwisowe</t>
  </si>
  <si>
    <t>kredyt - 1.550.000 zł ( 7 lat)</t>
  </si>
  <si>
    <t>kredyt - 6.350.000 zł ( 10 lat)</t>
  </si>
  <si>
    <t>wydatki  inwestycyjne jednostek</t>
  </si>
  <si>
    <t>wydatki na zkupy inwestyc. jednostek budżet.</t>
  </si>
  <si>
    <t>dotacja celowa z budżetu na fianasow.lub</t>
  </si>
  <si>
    <t>dofinans.zadań zleconych do realiz.stowarzysz.</t>
  </si>
  <si>
    <t>świadczenia opiekuńcze</t>
  </si>
  <si>
    <t>składki na uezpieczenia społeczne</t>
  </si>
  <si>
    <t>składki na ub.społeczne-świadczenia rodzinne</t>
  </si>
  <si>
    <t>świadczenia  rodzinne</t>
  </si>
  <si>
    <t>zakup materiałów i wyposażenia(bezdomne psy)</t>
  </si>
  <si>
    <t>dotacja celowa z budżetu na finans.lub dofinas.</t>
  </si>
  <si>
    <t>zadań zleconych do realizacji stowarzyszeniom</t>
  </si>
  <si>
    <t>zakup usług remontowych (stadion)</t>
  </si>
  <si>
    <t>zakup materiałów sygn.włamania i p.poż.</t>
  </si>
  <si>
    <t>USC</t>
  </si>
  <si>
    <t>ewidencja ludności</t>
  </si>
  <si>
    <t>gminna komisja urbanistyczna</t>
  </si>
  <si>
    <t>promocja sprzedaży nieruchomości</t>
  </si>
  <si>
    <t>(nauczyciele emeryci)</t>
  </si>
  <si>
    <t xml:space="preserve">opieka nad bezdomnymi psami, </t>
  </si>
  <si>
    <t>zadania własne - zasiłki okresowe</t>
  </si>
  <si>
    <t>kotłownia urzędu</t>
  </si>
  <si>
    <t xml:space="preserve">z pomocy społecznej oraz niektóre </t>
  </si>
  <si>
    <t>świadczenia rodzinne</t>
  </si>
  <si>
    <t>a także szkolenia młodzieży</t>
  </si>
  <si>
    <t>wynagrodzenia bezosobowe</t>
  </si>
  <si>
    <t xml:space="preserve">wynagrodzenia bezosobowe </t>
  </si>
  <si>
    <t>dotacja podmiotowa z budżetu dla</t>
  </si>
  <si>
    <t>samorządowej instytucji kultury</t>
  </si>
  <si>
    <t>zakup usług przez jedn.samorz.teryt.od innych</t>
  </si>
  <si>
    <t xml:space="preserve">jedn.sam.teryt. ( opłaty za pobyt w domu </t>
  </si>
  <si>
    <t>pomocy społecznej)</t>
  </si>
  <si>
    <t>Wydatki osobowe niezaliczone do wynagrodzeń</t>
  </si>
  <si>
    <t>wydatki osobowe niezaliczone do wynagrodzeń</t>
  </si>
  <si>
    <t>OBRONA  NARODOWA</t>
  </si>
  <si>
    <t>Pozostałe wydatki obronne</t>
  </si>
  <si>
    <t>realizowane na podstawie porozumień(umów)</t>
  </si>
  <si>
    <t>dotacje celowe przekazane dla powiatu na</t>
  </si>
  <si>
    <t>odpadów komunalnych w Międzyzdrojach</t>
  </si>
  <si>
    <t>monitoring składowiska odpadów</t>
  </si>
  <si>
    <t>zakup usług pozostałych (dopłaty do biletów</t>
  </si>
  <si>
    <t>z art..18a ustawy o transporcie drogowym)</t>
  </si>
  <si>
    <t>zakup usług pozostałych(rozbiórki budynków)</t>
  </si>
  <si>
    <t>gaz</t>
  </si>
  <si>
    <t>Związek Miast Polskich</t>
  </si>
  <si>
    <t>wpłaty jednostek na fundusz celowy</t>
  </si>
  <si>
    <t>inne formy pomocy dla uczniów</t>
  </si>
  <si>
    <t>wynagrodzenia  bezosobowe</t>
  </si>
  <si>
    <t xml:space="preserve">(dla nauczycieli emerytów) </t>
  </si>
  <si>
    <t>umowy zlecenia  GKRPA</t>
  </si>
  <si>
    <t>wynagrodzenia członków GKRPA</t>
  </si>
  <si>
    <t>zaliczki alimentacyjne</t>
  </si>
  <si>
    <t>Pomoc materialna dla uczniów</t>
  </si>
  <si>
    <t>miasto i promenada</t>
  </si>
  <si>
    <t>iluminacja świąteczna i inne prace</t>
  </si>
  <si>
    <t>kary i odszkodowania wypłacane na rzecz osób</t>
  </si>
  <si>
    <t>prawnych i innych jednostek organizacyjnych</t>
  </si>
  <si>
    <t>dotacje celowe przekazane gminie na inwestycje</t>
  </si>
  <si>
    <t>i zakupy inwestycyjne realizowane na podstwie</t>
  </si>
  <si>
    <t>porozumień między jst (schronisko dla zwierząt)</t>
  </si>
  <si>
    <t>podstawowych</t>
  </si>
  <si>
    <t xml:space="preserve">Oddziały przedszkolne w szkołach </t>
  </si>
  <si>
    <t>dotacje celowe z budżetu na finansowanie i dofin.</t>
  </si>
  <si>
    <t>kosztów realizacji inwestycji i zakupów inwestyc.</t>
  </si>
  <si>
    <t>innych jedn.sektora finansów publicznych</t>
  </si>
  <si>
    <t>(dotacja dla ZGWW)</t>
  </si>
  <si>
    <t>stypendia dla uczniów</t>
  </si>
  <si>
    <t>wynagrodzenia-zadania zlecone</t>
  </si>
  <si>
    <t>wynagrodzenia-zadania własne</t>
  </si>
  <si>
    <t>składki na ub.społeczne pracownika-zad.własne</t>
  </si>
  <si>
    <t>dodatkowe wynagrodzenie roczne (zad.własne)</t>
  </si>
  <si>
    <t>kształcenia młodocianych)</t>
  </si>
  <si>
    <t>zakup usług pozostałych(dofinans. kosztów</t>
  </si>
  <si>
    <t>na finansowanie lub dofinansowanie</t>
  </si>
  <si>
    <t>zadań inwestycyjnych</t>
  </si>
  <si>
    <t>ekwiwalent za używanie odzieży</t>
  </si>
  <si>
    <t>na podstawie porozumień między jed.sam.teryt.</t>
  </si>
  <si>
    <t xml:space="preserve">inwestycje i zakupy inwestycyjne realizowane </t>
  </si>
  <si>
    <t xml:space="preserve">("Modernizacja drogi Wapnica-Wicko w gminie </t>
  </si>
  <si>
    <t>wpłaty gmin i powiatów na rzecz innych jst oraz</t>
  </si>
  <si>
    <t>związków gmin lub zw.powiatów na dof.zad.bież.</t>
  </si>
  <si>
    <t>Związek Gmin Wyspy Wolin</t>
  </si>
  <si>
    <t>dotacja celowa z budżetu na finansowanie lub</t>
  </si>
  <si>
    <t>dofinans.zadań zleconych do realizacji stowarzysz.</t>
  </si>
  <si>
    <t>składki na ub.społeczne pracownika-zad.zlecone</t>
  </si>
  <si>
    <t>składki na Fundusz Pracy -zadania  własne</t>
  </si>
  <si>
    <t>składki na Fundusz Pracy -zadania  zlecone</t>
  </si>
  <si>
    <t xml:space="preserve">składki na Fundusz Pracy </t>
  </si>
  <si>
    <t>zakup usług pozostałych (zad.zlecone)</t>
  </si>
  <si>
    <t>Zwalczanie narkomanii</t>
  </si>
  <si>
    <t>różne opłaty i składki (opł.z tyt.wieczyst.użytk.)</t>
  </si>
  <si>
    <t>rozbiórki budynków</t>
  </si>
  <si>
    <t>wydatki związane z utrzym.bud.i lokali mieszk.</t>
  </si>
  <si>
    <t>zakup usług zdrowotnych</t>
  </si>
  <si>
    <t>oraz skł.na ubezp.emeryt.i rent.z ubezp.społ.</t>
  </si>
  <si>
    <t>Świadczenia rodzinne, zaliczka alimentac.</t>
  </si>
  <si>
    <t>składki na ubezpiecz.społ.(sekcje sportowe)</t>
  </si>
  <si>
    <t>składki na Fundusz Pracy(sekcje sportowe)</t>
  </si>
  <si>
    <t>wynagrodzenia bezosobowe (sekcje sportowe)</t>
  </si>
  <si>
    <t>zakup materiałów i wyposażenie (sekcje sportowe)</t>
  </si>
  <si>
    <t>zakup usług pozostałych(sekcje sportowe )</t>
  </si>
  <si>
    <t>podróże służbowe krajowe(sekcje sportowe)</t>
  </si>
  <si>
    <t>różne opłaty i składki (sekcje sportowe)</t>
  </si>
  <si>
    <t>2007 r.</t>
  </si>
  <si>
    <t xml:space="preserve">różne opłaty i składki </t>
  </si>
  <si>
    <t>opłaty za korzystanie ze środowiska</t>
  </si>
  <si>
    <t>opłata za umieszcz.w pasie drog.urządz.infrastr.</t>
  </si>
  <si>
    <t>zakup materiałów i wyposażenia(ratownicy)</t>
  </si>
  <si>
    <t>zabezpieczenie pom.socjalnego</t>
  </si>
  <si>
    <t>różne opłaty i składki(ubezp.plaży i skutera)</t>
  </si>
  <si>
    <t>dotacja przedmiotowa z budżetu dla zakł.budż.(ZOŚ)</t>
  </si>
  <si>
    <t>rekompensata za drogę,chodnik i bud.Norwida</t>
  </si>
  <si>
    <t>dotacja przedmiotowa z budż.dla zakł.budż.(ZOŚ)</t>
  </si>
  <si>
    <t>materiały do remontu</t>
  </si>
  <si>
    <t>energia-promocja</t>
  </si>
  <si>
    <t>telefoni komórkowej</t>
  </si>
  <si>
    <t>telefoni stacjonarnej</t>
  </si>
  <si>
    <t xml:space="preserve">promocja-ubezpieczenia i skł.członkowska </t>
  </si>
  <si>
    <t>podatek od towarów i usług(VAT)</t>
  </si>
  <si>
    <t>koszty postępowania egzekucyjnego</t>
  </si>
  <si>
    <t>koszty postępowania sądowego</t>
  </si>
  <si>
    <t>zakup materiałów papierniczych do sprzętu</t>
  </si>
  <si>
    <t>drukarskiego i urządzeń kserograficznych</t>
  </si>
  <si>
    <t>zakup akcesoriów komputerowych,w tym</t>
  </si>
  <si>
    <t>programów i licencji</t>
  </si>
  <si>
    <t>rozbudowa centrali telefonicznej</t>
  </si>
  <si>
    <t>energia-skrzynka energ.-promocja</t>
  </si>
  <si>
    <t>(ubezpieczenie kotłowni urzędu)</t>
  </si>
  <si>
    <t>radiowóz dla Komendy Powiatowej Policji</t>
  </si>
  <si>
    <t>alkotest,2 komputery,aparat cyfrowy……</t>
  </si>
  <si>
    <t>zakup energii(woda na cele przeciwpożarowe)</t>
  </si>
  <si>
    <t>program Socrates-Cumenius)</t>
  </si>
  <si>
    <t xml:space="preserve">zakup usług zdrowotnych </t>
  </si>
  <si>
    <t>zakup usług pozostałych (Szkoła nr 1</t>
  </si>
  <si>
    <t>podróże służbowe zagraniczne(Szkoła nr 1</t>
  </si>
  <si>
    <t>opłaty z tyt.zakupu usług telekomunikacyjnych</t>
  </si>
  <si>
    <t>posiłek dla potrzebujących-z dotacji</t>
  </si>
  <si>
    <t>posiłek dla potrzebujących-budżet gminy</t>
  </si>
  <si>
    <t>prace społecznie użyteczne</t>
  </si>
  <si>
    <t>"akcja zimowa-drogi powiatowe"</t>
  </si>
  <si>
    <t>utrzymanie czystości-powiat</t>
  </si>
  <si>
    <t>budżetowego(ZOŚ-dofin.utrzym.stadionu)</t>
  </si>
  <si>
    <t>dotacja przedmiotowa z budżetu dla pozostałych</t>
  </si>
  <si>
    <t>jedn.sektora finan.publ.(dotacja dla ZGWW)</t>
  </si>
  <si>
    <t>wyposażenie komunalnego ujęcia wody</t>
  </si>
  <si>
    <t>w automatyczną stację uzdatniania</t>
  </si>
  <si>
    <t>podatek od nieruchomości</t>
  </si>
  <si>
    <t xml:space="preserve">zakup usług remontowych </t>
  </si>
  <si>
    <t>remomty komunalnych lokali mieszkalnych-MTBS</t>
  </si>
  <si>
    <t>zakup usług dostępu do sieci Internet</t>
  </si>
  <si>
    <t>zakup usług dostepu do sieci  Internet</t>
  </si>
  <si>
    <t xml:space="preserve">osób fizycznych </t>
  </si>
  <si>
    <t>odszkodowania-inne</t>
  </si>
  <si>
    <t>odszkodow. za dzaiłkę przejętą pod drogę w Wicku</t>
  </si>
  <si>
    <t>dzierżawcę na nieruchom.prz ul.Dabrówki 13</t>
  </si>
  <si>
    <t xml:space="preserve">zwrot nakładów poczynionych przez byłego </t>
  </si>
  <si>
    <t>nagrody dla dyrektorów placówek oświatowych</t>
  </si>
  <si>
    <t>nagroda Burmistrza-oświata</t>
  </si>
  <si>
    <t>aktualizacja programów i usługi serwisowe</t>
  </si>
  <si>
    <t>elektroniczna identyfikacja psów</t>
  </si>
  <si>
    <t>inne i deratyzacja</t>
  </si>
  <si>
    <t>telefonii stacjonarnej</t>
  </si>
  <si>
    <t xml:space="preserve">zakup materiałów papierniczych do sprzetu </t>
  </si>
  <si>
    <t>szkolenia pracowników nie będących członkami</t>
  </si>
  <si>
    <t>korpusu służby cywilnej</t>
  </si>
  <si>
    <t>szkolenia pracowników niebędących członkami</t>
  </si>
  <si>
    <t>telefonii stacjionarnej</t>
  </si>
  <si>
    <t xml:space="preserve">inne   </t>
  </si>
  <si>
    <t>inwentaryzacja złóż naturalnych surowców leczn.</t>
  </si>
  <si>
    <t>kredyt  na budowę budynku mieszkalnego</t>
  </si>
  <si>
    <t xml:space="preserve">rezerwy (rezerwa celowa z przeznaczeniem na </t>
  </si>
  <si>
    <t>organizację imprez kulturalno-artystycznych,m.in.</t>
  </si>
  <si>
    <t>imprezy rekreacyjno-sportowe:</t>
  </si>
  <si>
    <t>zakup energii (przepompownia melioracyjna)</t>
  </si>
  <si>
    <t>konserwacja przepompowni melioracyjnej</t>
  </si>
  <si>
    <t>dokumentacja i  utwardzenie nawierzchni</t>
  </si>
  <si>
    <t>pod punkty handlowe</t>
  </si>
  <si>
    <t>dok.tech.kan.sanit.-ul.Polna i Miernicza,</t>
  </si>
  <si>
    <t>rozbudowa sieci wod.kan -ul.Miernicza</t>
  </si>
  <si>
    <t>modernizacja sieci komputerowej</t>
  </si>
  <si>
    <t>zakup kserokopiarki i sejfu / szafy metalowej</t>
  </si>
  <si>
    <t>szkoła nr 1-remont podłączenia energetycznego</t>
  </si>
  <si>
    <t>przedszkole-plac zabaw</t>
  </si>
  <si>
    <t>gimnazjum-elewacja i docieplenie budynku</t>
  </si>
  <si>
    <t>oraz inne roboty</t>
  </si>
  <si>
    <t>gimnazjum-przebudowa  klatki schodowej</t>
  </si>
  <si>
    <t>budowa oświetlenia w ul.Turkusowej</t>
  </si>
  <si>
    <t>projekt i rekultywacja składowiska</t>
  </si>
  <si>
    <t xml:space="preserve">dotacja celowa przekazana jedn.sam.terytor. </t>
  </si>
  <si>
    <t>wdrażającą na inwestycje i zakupy inwestycyjne</t>
  </si>
  <si>
    <t>(dotacja dla m.Świnoujścia na budowę stacji</t>
  </si>
  <si>
    <t>segregacji odpadów)</t>
  </si>
  <si>
    <t>wydatki na zakupy inwestycyjne jed.budżet.</t>
  </si>
  <si>
    <t>Ochrona zabytków i opieka nad zabytkami</t>
  </si>
  <si>
    <t>rezerwy na inwestycje i zakupy inwestycyjne</t>
  </si>
  <si>
    <t>(dotacja z przeznaczeniem na 15% dofinansow.</t>
  </si>
  <si>
    <t xml:space="preserve">robót budowlanych przy zabytkach wpisanych </t>
  </si>
  <si>
    <t>do rejestru zabytków-remont dachu kościoła</t>
  </si>
  <si>
    <t>w Międzydrojach i Lubinie)</t>
  </si>
  <si>
    <t>(remont budynku położonego przy ul.Promenada</t>
  </si>
  <si>
    <t>Gwiazd- BALBINKA)</t>
  </si>
  <si>
    <t>szkoła nr 1 -remont stołówki</t>
  </si>
  <si>
    <t>telefonii stacjonarnej (zad.własne)</t>
  </si>
  <si>
    <t>drukarskiego i urządzeń kserograficznych(własne)</t>
  </si>
  <si>
    <t>programów i licencji( zad.własne)</t>
  </si>
  <si>
    <t>(zakup pompy typu Flugt 3171 180 LT 611)</t>
  </si>
  <si>
    <t>przeprowadzenie inwentaryzacji dróg gminnych</t>
  </si>
  <si>
    <t xml:space="preserve">w związku z ewidencją dróg </t>
  </si>
  <si>
    <t>wynagrodzenie dla firmy prowadzącej strefy</t>
  </si>
  <si>
    <t>płatnego postoju</t>
  </si>
  <si>
    <t xml:space="preserve">dopłaty do biletów z tyt.stosowania ulg </t>
  </si>
  <si>
    <t>w przewozie pasażerów zgodnie</t>
  </si>
  <si>
    <t>zakup usług remontowych (remont przyziemia</t>
  </si>
  <si>
    <t>w kraju i zagranicą, opracowanie i wydanie</t>
  </si>
  <si>
    <t xml:space="preserve">informatorów turystycznych,opracowanie </t>
  </si>
  <si>
    <t>i wydanie mapy turystycznej Gminy Międzyzdroje</t>
  </si>
  <si>
    <t xml:space="preserve">reklama wizualna w mediach- realizacja </t>
  </si>
  <si>
    <t>programów promujących gminę oraz imprezy,</t>
  </si>
  <si>
    <t xml:space="preserve">zamieszczenie materiałow promocyjnych </t>
  </si>
  <si>
    <t xml:space="preserve">o gminie w dziennikach i wydawnictwach krajowych </t>
  </si>
  <si>
    <t>i zagranicznych,opracowanie i wydanie albumów</t>
  </si>
  <si>
    <t xml:space="preserve">i płyt,katalogów,materiałów promocyjnych </t>
  </si>
  <si>
    <t>artystycznych i rekreacyjnych oraz okolicznościo-</t>
  </si>
  <si>
    <t>wych,współorganizacja konferencji, zjazdów,</t>
  </si>
  <si>
    <t>turystyki i promocji,itp..</t>
  </si>
  <si>
    <t>(Udział gminy w targach turystycznych</t>
  </si>
  <si>
    <t>budowa i prowadzenie strony internet. dotyczacej</t>
  </si>
  <si>
    <t>Realizacja projektu pn."Budowa zintegrowanego</t>
  </si>
  <si>
    <t>systemu informacji turystycznej w Województwie</t>
  </si>
  <si>
    <t>Zachodniopomorskim oraz programów pomocowych</t>
  </si>
  <si>
    <t>i projektów z UE a także współpraca regionalna</t>
  </si>
  <si>
    <t>i zagraniczna z gminami partnerskimi.</t>
  </si>
  <si>
    <t>promocje</t>
  </si>
  <si>
    <t>opracowanie projekty pn."Budowa infrastruk-</t>
  </si>
  <si>
    <t>tury i wspólnej marki turystycznej Zachodnio-</t>
  </si>
  <si>
    <t>pomorskiego Szlaku Żeglarskiego</t>
  </si>
  <si>
    <t>dotacje celowe przekazane gminie na zadania</t>
  </si>
  <si>
    <t>bieżące realizowane na podstawie porozumień</t>
  </si>
  <si>
    <t>między jednostkami samorządu terytorialnego</t>
  </si>
  <si>
    <t>(dotacja celowa na utrzymanie 15 stanowisk</t>
  </si>
  <si>
    <t>dla bezdomnych psów w schronisku - Gmina</t>
  </si>
  <si>
    <t>Golczewo)</t>
  </si>
  <si>
    <t>I Międzynarodowy Festiwal Chopinowski,</t>
  </si>
  <si>
    <t>Święto Polskiego Kabaretu,</t>
  </si>
  <si>
    <t>Lato z Gwiazdami / Festiwal Gwiazd,</t>
  </si>
  <si>
    <t>Międzyzdrojski Muzyczny Non Stop ,</t>
  </si>
  <si>
    <t>Pożegnanie Lata-Przegląd Piosenki Studenckiej)</t>
  </si>
  <si>
    <t xml:space="preserve">Bieg Śniadaniowy, </t>
  </si>
  <si>
    <t>Mityng Lekkoatletyczny</t>
  </si>
  <si>
    <t>Międzynarodowy Turniej Tańca Towarzyskiego</t>
  </si>
  <si>
    <t>Majowy Turniej Piłki Nożnej,</t>
  </si>
  <si>
    <t>Turniej Koszykówki,</t>
  </si>
  <si>
    <t>Turniej Siatkówki,</t>
  </si>
  <si>
    <t>oraz  inne wynikające z kalendarza imprez)</t>
  </si>
  <si>
    <t>remont ul.Dobrej i parkingu przy Wzgórzu Zielonka</t>
  </si>
  <si>
    <t>oraz budowa zaplecza sanitarnego</t>
  </si>
  <si>
    <t>wydatki na zakupy inwestycyjne jednostek bud.</t>
  </si>
  <si>
    <t xml:space="preserve">(zakup programu komputerowego w celu </t>
  </si>
  <si>
    <t>zaprowadzenia ewidencji dróg)</t>
  </si>
  <si>
    <t>projekt bud.i wykon.adaptacji budynku.-ul.Ludowa 2</t>
  </si>
  <si>
    <t>zestaw konferencyjny (nagłośnienie)</t>
  </si>
  <si>
    <t>szkoła nr 2- projekt i rozbudowa budynku</t>
  </si>
  <si>
    <t>oprac.koncepcji zagospodarow. budynku WIKLINY</t>
  </si>
  <si>
    <t>przez inną jedn.sam.terytor. będącą instytucją</t>
  </si>
  <si>
    <t>szacowanie nieruchomości -opłaty planistyczne</t>
  </si>
  <si>
    <t>przebudowa ul.Mickiewicza i Rybackiej</t>
  </si>
  <si>
    <t>dokumentacja na przebudowę ul.Kolejowej</t>
  </si>
  <si>
    <t>Załącznik nr 2</t>
  </si>
  <si>
    <t>Burmistrza Międzyzdrojów</t>
  </si>
  <si>
    <t>Dział</t>
  </si>
  <si>
    <t>rozdz.</t>
  </si>
  <si>
    <t>&amp;</t>
  </si>
  <si>
    <t>Plan na rok 2007</t>
  </si>
  <si>
    <t xml:space="preserve">przed </t>
  </si>
  <si>
    <t>po</t>
  </si>
  <si>
    <t>zmianach</t>
  </si>
  <si>
    <t>wyk.</t>
  </si>
  <si>
    <t>projekt na rozbudowę sieci wod.-kan.-ul.Wąska</t>
  </si>
  <si>
    <t>Międzyzdroje")</t>
  </si>
  <si>
    <t>remont ciągów pieszych-amfiteatr</t>
  </si>
  <si>
    <t>wiadukt kolejowy i wiadukt w Lubinie</t>
  </si>
  <si>
    <t>utrzymanie dróg i chodników powiatowych</t>
  </si>
  <si>
    <t>przebudowa drogi w ul.Ludowej i 1000-lecia PP</t>
  </si>
  <si>
    <t>wykonanie studni chłonnej-Myśliwska</t>
  </si>
  <si>
    <t>(przygotowanie parkingu miejskiego)</t>
  </si>
  <si>
    <t>przygotowanie parkingu w ul.Komunalnej</t>
  </si>
  <si>
    <t>(toaleta socjalno-bytowa i kontener-parking)</t>
  </si>
  <si>
    <t>koszt wyceny nieruch.-poręczenie stadion</t>
  </si>
  <si>
    <t>różne opłaty</t>
  </si>
  <si>
    <t>koszty notarialne-poręczenie stadionu</t>
  </si>
  <si>
    <t xml:space="preserve">(zwrot podatku VAT nabywcy nieruch.przy </t>
  </si>
  <si>
    <t>ul.Kopernika)</t>
  </si>
  <si>
    <t>koszty windykacji zaległych czynszów(PZM)</t>
  </si>
  <si>
    <t>wydatki zw.z rozl.zaliczki na utrzymanie</t>
  </si>
  <si>
    <t>lokali komunalnych za 2006 r.</t>
  </si>
  <si>
    <t>rozbiórka hali na terenie ZOŚ</t>
  </si>
  <si>
    <t>budowa budynku mieszkalnego przy</t>
  </si>
  <si>
    <t>ul.Skłodowskiej</t>
  </si>
  <si>
    <t>remont mieszkań komunalnych -MTBS</t>
  </si>
  <si>
    <t>wynagrodzenia bezosobowe(ocena</t>
  </si>
  <si>
    <t>aktualności planu zagosp.przestrz.i studium)</t>
  </si>
  <si>
    <t xml:space="preserve">remont przyziemia kaplicy na Cmentarzu </t>
  </si>
  <si>
    <t>Komunalnym w Międzyzdrojach)</t>
  </si>
  <si>
    <t>remont dachu kopuły kaplicy na cmentarzu</t>
  </si>
  <si>
    <t>zakup usług pozostałych(urządzenie</t>
  </si>
  <si>
    <t>miejsca pamięci-cmentarz w Lubiniu)</t>
  </si>
  <si>
    <t>(klimatyzacja sali ślubów)</t>
  </si>
  <si>
    <t>(reprezentacyjne i inne)</t>
  </si>
  <si>
    <t>wynagrodzenia bezosobowe (w tym promocja:</t>
  </si>
  <si>
    <t>inne artykuły papiernicze</t>
  </si>
  <si>
    <t>konserwacja maszyn i urządzeń</t>
  </si>
  <si>
    <t>konserwacja systemu łączności</t>
  </si>
  <si>
    <t>remont pomieszczeń urzędu</t>
  </si>
  <si>
    <t>o atrakcjach turystycznych,współorganizacja imprez</t>
  </si>
  <si>
    <t>lokale i pomieszczenia garażowe</t>
  </si>
  <si>
    <t>opłaty za administrowanie i czynsze za budynki,</t>
  </si>
  <si>
    <t>zakup programów komputerowych i licencji</t>
  </si>
  <si>
    <t>samoobsługowy kiosk multimedialny-promocja</t>
  </si>
  <si>
    <t>program antywirusowy</t>
  </si>
  <si>
    <t>zakup komputerów</t>
  </si>
  <si>
    <t>kserokopiarka</t>
  </si>
  <si>
    <t>Celowy Związek Gmin R-XXI</t>
  </si>
  <si>
    <t>(zastępcza służba wojskowa)</t>
  </si>
  <si>
    <t>(roboty publiczne refundowane)</t>
  </si>
  <si>
    <t>kotłowni urzędu)</t>
  </si>
  <si>
    <t>lokale i pomieszczenia garażowe(punkt</t>
  </si>
  <si>
    <t>Powiatowego Urzędu Pracy)</t>
  </si>
  <si>
    <t>dotacje celowe przekazane dla powiatu</t>
  </si>
  <si>
    <t>na inwestycje i zakupy inwest.realiz.na podst.</t>
  </si>
  <si>
    <t>porozumień(umów) między jednostkami</t>
  </si>
  <si>
    <t xml:space="preserve">samorządu terytorialnego(dotacja </t>
  </si>
  <si>
    <t>z przeznaczeniem na modernizację bud.sądu)</t>
  </si>
  <si>
    <t>remontu Komisariatu Policji-50 000 zł oraz</t>
  </si>
  <si>
    <t>utrzymanie sił wsparcia sezon 2007 r.-</t>
  </si>
  <si>
    <t>50 000 zł)</t>
  </si>
  <si>
    <t>(umundurowanie)</t>
  </si>
  <si>
    <t xml:space="preserve">inne materiały </t>
  </si>
  <si>
    <t>(wrota Międzyzdrojów-zabezp.bezpieczeństwa</t>
  </si>
  <si>
    <t>turystów oraz wdrożenie społeczeństwa</t>
  </si>
  <si>
    <t>informacyjnego w gminie Międzyzdroje)</t>
  </si>
  <si>
    <t xml:space="preserve">rozliczenia z bankami związane z obługą </t>
  </si>
  <si>
    <t>długu publicznego</t>
  </si>
  <si>
    <t>szkoła nr 1(remont toalet)</t>
  </si>
  <si>
    <t>(kserokopiarka-szkoła nr 1)</t>
  </si>
  <si>
    <t>wydatki inwestycyjne jednostek budżet.(dok.tech.</t>
  </si>
  <si>
    <t>wydatki na zakupy inwestyc. jednostek budżet.</t>
  </si>
  <si>
    <t>eksperci egzaminacyjni</t>
  </si>
  <si>
    <t>projekt budowlany remontu boiska w Szkole nr 1</t>
  </si>
  <si>
    <t>zakup usług pozostałych (dofinansowanie</t>
  </si>
  <si>
    <t>pracodawcom kosztów przygotowania</t>
  </si>
  <si>
    <t>zawodowego młodocianych pracowników)</t>
  </si>
  <si>
    <t>budowa boiska sportowego-Gimnazjum</t>
  </si>
  <si>
    <t>projekt hali sportowej-Szkoła nr 1</t>
  </si>
  <si>
    <t>(dofinansowanie opieki nad dziećmi)</t>
  </si>
  <si>
    <t>zakup usług pozostałych(badanie klatki</t>
  </si>
  <si>
    <t>piersiowej)</t>
  </si>
  <si>
    <t>"akcja zimowa-drogi gminne"</t>
  </si>
  <si>
    <t>zakup usług remontowych(konserw.oświetlenia)</t>
  </si>
  <si>
    <t>konserwacja oświetlenia(zobowiązanie 2006)</t>
  </si>
  <si>
    <t>dotacja dla ZOŚ-zakup samochodu śmieciarki</t>
  </si>
  <si>
    <t>i ładowarki</t>
  </si>
  <si>
    <t>dot.dla ZWiK- zakup agragatu pompowego</t>
  </si>
  <si>
    <t>do studni w ujęciu wody</t>
  </si>
  <si>
    <t>Festiwal Pieśni Chóralnej</t>
  </si>
  <si>
    <t>turniej sportowego tańca towarzyskiego</t>
  </si>
  <si>
    <t xml:space="preserve">zakup usług pozostałych(koncepcja </t>
  </si>
  <si>
    <t>zagospodarowania terenu amfiteatru)</t>
  </si>
  <si>
    <t>projekt budowlany na budowę amfiteatru</t>
  </si>
  <si>
    <t>wraz z zabudową towarzyszącą przy ul.</t>
  </si>
  <si>
    <t xml:space="preserve">Boh.Warszawy oraz zakup ławek jako </t>
  </si>
  <si>
    <t>pierwszego wyposażenia amfiteatru</t>
  </si>
  <si>
    <t>wykonanie przyłączy do kontenerów-amfiteatr</t>
  </si>
  <si>
    <t>wydatki za zakupy inwestycyjne(zakup toalety-</t>
  </si>
  <si>
    <t>amfiteatr)</t>
  </si>
  <si>
    <t>stypendia różne(stypendia sportowe)</t>
  </si>
  <si>
    <t>zakup usług remontowych(konserwacja</t>
  </si>
  <si>
    <t>do Zarządzenia Nr 40/Fin/08</t>
  </si>
  <si>
    <t>z dnia  12 marca 2008 r.</t>
  </si>
  <si>
    <t>Zestawienie wydatków za rok 2007 r. (plan,wykonanie i wskaźniki)</t>
  </si>
  <si>
    <t>projekt budowlany-budowa przepompowni Wodna</t>
  </si>
  <si>
    <t>remont zejścia na plażę Campingowa</t>
  </si>
  <si>
    <t>remont dróg na terenie sołectw</t>
  </si>
  <si>
    <t>remont zejścia na plażę w Lubiewie</t>
  </si>
  <si>
    <t>przebudowa -Promenada Gwiazd i Boh.W-wy</t>
  </si>
  <si>
    <t>budowa stałego zjazdu na plaże ul.Cicha</t>
  </si>
  <si>
    <t>bud.zespołu ziel.parkingów Komunalna</t>
  </si>
  <si>
    <t xml:space="preserve">budowa i przebudowa ul.Nowomyśliwskiej </t>
  </si>
  <si>
    <t>dokumentacja na remont ul.Książąt Pomorskich</t>
  </si>
  <si>
    <t>remont wiaduktu w m.Lubin</t>
  </si>
  <si>
    <t>projekt budowlany remont drogi w ul.Wesołej</t>
  </si>
  <si>
    <t>projekt budowlany-remont drogi ul.Zdrojowa…</t>
  </si>
  <si>
    <t>wniosek aplikacyjny-uzbrojenie terenów…</t>
  </si>
  <si>
    <t>koncepcja architekt.urban,Zdrojowa i Prom.Gw.</t>
  </si>
  <si>
    <t>projekt hali targowej-ul.Boh.Warszawy</t>
  </si>
  <si>
    <t>witacz w ciągu drogi wojewódzkiej nr 102</t>
  </si>
  <si>
    <t>kary i odszkodowania wypłacane…</t>
  </si>
  <si>
    <t>(zwrot kosztów tyt.opł.za przyłacz.Ludowa 2)</t>
  </si>
  <si>
    <t>dociepl.budynku ul Ludowa 2 i infrastruktura</t>
  </si>
  <si>
    <t>zmiana studium uwarunkowań i kierunków…</t>
  </si>
  <si>
    <t>za wykonaną pracę-rejon mola i M-je Zachód</t>
  </si>
  <si>
    <t>projekt i urządzenie cmentarza w Międzyzdrojach</t>
  </si>
  <si>
    <t>plan 3500 zł,wykonanie 3190 zł)</t>
  </si>
  <si>
    <t>remont dachu budynku urzędu</t>
  </si>
  <si>
    <t>klimatyzacja Sali ślubów i pomieszczeń biur.</t>
  </si>
  <si>
    <t>remont Sali ślubów-ułożenie terakoty…</t>
  </si>
  <si>
    <t>ekspertyza stanu technicz.-Zwycięstwa 50</t>
  </si>
  <si>
    <t>odpisy na zakładowy fundusz świadcz.socjal.</t>
  </si>
  <si>
    <t>Wybory do Sejmu i Senatu</t>
  </si>
  <si>
    <t>rózne wydatki na rzecz osób fizycznych</t>
  </si>
  <si>
    <t>opłaty z tytułu zakupu usług telekomunikacyjnych</t>
  </si>
  <si>
    <t>zakup materiałów papierniczych do…</t>
  </si>
  <si>
    <t>(Policja-dofinansowanie</t>
  </si>
  <si>
    <t>dotacje celowe przekazane dla powiatu…</t>
  </si>
  <si>
    <t>(wykonanie podjazdu i bramy garażowej OSP</t>
  </si>
  <si>
    <t>oraz remont instalacji elektrycznej…)</t>
  </si>
  <si>
    <t>(dofinans. zakupów aparatów powietrznych)</t>
  </si>
  <si>
    <t>(zakup i montaż syren elektronicznych)</t>
  </si>
  <si>
    <t>(dotacja dla m.Świnoujścia-100-lecie OSP)</t>
  </si>
  <si>
    <t>dotacje celowe przekazane gminie na zadanie..</t>
  </si>
  <si>
    <t>i książek(szkoła nr 1-Comenius)</t>
  </si>
  <si>
    <t>podatek od nieruchomości (szkoła nr 1)</t>
  </si>
  <si>
    <t>(szkoła nr 1-Comenius)</t>
  </si>
  <si>
    <t>boiska gimnazjum,wymiana okien i gabinet reedukatora)</t>
  </si>
  <si>
    <t xml:space="preserve">zakup pomocy naukowych,dydaktycznych </t>
  </si>
  <si>
    <t>i książek(szkoła nr 2 z dotacji)</t>
  </si>
  <si>
    <t>rozbudowa hali sportowej-szkoła nr 1</t>
  </si>
  <si>
    <t>projekt budowlany- hala sportowa szkoła nr 2</t>
  </si>
  <si>
    <t>projekt bud.budowa boiska wielof..szkoła nr 2</t>
  </si>
  <si>
    <t>projekt bud.budowa hali sportowej gimnazjum</t>
  </si>
  <si>
    <t>budżet gminy</t>
  </si>
  <si>
    <t>budżet państwa</t>
  </si>
  <si>
    <t>(realiz. Progr. opieka nad dzieckiem i rodziną)</t>
  </si>
  <si>
    <t>telefoni stacjonarnej (szkoła nr 1)</t>
  </si>
  <si>
    <t>stypendium szkolne-pomoc socjalna</t>
  </si>
  <si>
    <t>podręczniki i stroje dla uczniów</t>
  </si>
  <si>
    <t>selektywna zbiórka odpadów wtórnych</t>
  </si>
  <si>
    <t>rozbudowa istniejącego placu zabaw w parku</t>
  </si>
  <si>
    <t>projekt bud.-rozbud.placu zabaw przy hotelu</t>
  </si>
  <si>
    <t>budowa ośw.drog.Wodziczki i Nowomyśliwska</t>
  </si>
  <si>
    <t>dot. dla ZWiK pompownia ściek.sanit.P1 Lubin</t>
  </si>
  <si>
    <t>dot.dla ZWiK- zawór stacji uzd.wody i wymiana</t>
  </si>
  <si>
    <t>przyłącza ul.Dobra</t>
  </si>
  <si>
    <t>dot.dla ZOŚ-wykup samoch.cięż.Mercedes…</t>
  </si>
  <si>
    <t>dotacje celowe z budżetu na finansowanie</t>
  </si>
  <si>
    <t>lub dofinansowanie kosztów realizacji</t>
  </si>
  <si>
    <t>inwestycji i zakupów inwestycyjnych innych</t>
  </si>
  <si>
    <t>jednostek sektora finansów publicznych</t>
  </si>
  <si>
    <t>(dot.dla ZGWW na uporządkowanie gosp.</t>
  </si>
  <si>
    <t>wodno-ściekowej)</t>
  </si>
  <si>
    <t xml:space="preserve">jednostek niezaliczanych do sektora finansów </t>
  </si>
  <si>
    <t>publicznych(przełożenie pokrycia dachowego-</t>
  </si>
  <si>
    <t>Kościół w Lubinie)</t>
  </si>
  <si>
    <t>opracownie koncepcji bud. biblioteki miejskie</t>
  </si>
  <si>
    <t>projekt bud.usł.kawiarni pn.Chopin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</si>
</sst>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7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horizontal="centerContinuous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" fontId="5" fillId="0" borderId="3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0" fontId="0" fillId="0" borderId="2" xfId="0" applyFont="1" applyFill="1" applyBorder="1" applyAlignment="1">
      <alignment horizontal="left"/>
    </xf>
    <xf numFmtId="1" fontId="0" fillId="0" borderId="7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9" fontId="10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10" fillId="0" borderId="2" xfId="0" applyFont="1" applyFill="1" applyBorder="1" applyAlignment="1">
      <alignment/>
    </xf>
    <xf numFmtId="9" fontId="5" fillId="0" borderId="0" xfId="0" applyNumberFormat="1" applyFont="1" applyAlignment="1">
      <alignment/>
    </xf>
    <xf numFmtId="9" fontId="5" fillId="0" borderId="1" xfId="0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9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/>
    </xf>
    <xf numFmtId="9" fontId="9" fillId="0" borderId="5" xfId="0" applyNumberFormat="1" applyFont="1" applyBorder="1" applyAlignment="1">
      <alignment/>
    </xf>
    <xf numFmtId="9" fontId="5" fillId="0" borderId="2" xfId="0" applyNumberFormat="1" applyFont="1" applyBorder="1" applyAlignment="1">
      <alignment/>
    </xf>
    <xf numFmtId="9" fontId="8" fillId="0" borderId="4" xfId="0" applyNumberFormat="1" applyFont="1" applyBorder="1" applyAlignment="1">
      <alignment/>
    </xf>
    <xf numFmtId="9" fontId="12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9" fontId="10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9" xfId="0" applyFont="1" applyBorder="1" applyAlignment="1">
      <alignment/>
    </xf>
    <xf numFmtId="0" fontId="9" fillId="0" borderId="10" xfId="0" applyFont="1" applyBorder="1" applyAlignment="1">
      <alignment/>
    </xf>
    <xf numFmtId="4" fontId="1" fillId="0" borderId="9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9" fontId="9" fillId="0" borderId="11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9" fontId="5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 horizontal="center"/>
    </xf>
    <xf numFmtId="164" fontId="5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" xfId="0" applyFont="1" applyBorder="1" applyAlignment="1">
      <alignment/>
    </xf>
    <xf numFmtId="9" fontId="10" fillId="0" borderId="0" xfId="0" applyNumberFormat="1" applyFont="1" applyAlignment="1">
      <alignment/>
    </xf>
    <xf numFmtId="9" fontId="10" fillId="0" borderId="0" xfId="0" applyNumberFormat="1" applyFont="1" applyAlignment="1">
      <alignment horizontal="centerContinuous"/>
    </xf>
    <xf numFmtId="9" fontId="10" fillId="0" borderId="1" xfId="0" applyNumberFormat="1" applyFont="1" applyBorder="1" applyAlignment="1">
      <alignment/>
    </xf>
    <xf numFmtId="9" fontId="11" fillId="0" borderId="4" xfId="0" applyNumberFormat="1" applyFont="1" applyBorder="1" applyAlignment="1">
      <alignment/>
    </xf>
    <xf numFmtId="9" fontId="11" fillId="0" borderId="3" xfId="0" applyNumberFormat="1" applyFont="1" applyBorder="1" applyAlignment="1">
      <alignment/>
    </xf>
    <xf numFmtId="9" fontId="10" fillId="0" borderId="2" xfId="0" applyNumberFormat="1" applyFont="1" applyBorder="1" applyAlignment="1">
      <alignment/>
    </xf>
    <xf numFmtId="9" fontId="10" fillId="0" borderId="3" xfId="0" applyNumberFormat="1" applyFont="1" applyBorder="1" applyAlignment="1">
      <alignment/>
    </xf>
    <xf numFmtId="9" fontId="10" fillId="0" borderId="0" xfId="0" applyNumberFormat="1" applyFont="1" applyBorder="1" applyAlignment="1">
      <alignment/>
    </xf>
    <xf numFmtId="9" fontId="11" fillId="0" borderId="11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9" fontId="3" fillId="0" borderId="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5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1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0" fillId="0" borderId="0" xfId="0" applyFont="1" applyAlignment="1">
      <alignment/>
    </xf>
    <xf numFmtId="9" fontId="11" fillId="0" borderId="2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9" fontId="8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9" fontId="9" fillId="0" borderId="8" xfId="0" applyNumberFormat="1" applyFont="1" applyBorder="1" applyAlignment="1">
      <alignment/>
    </xf>
    <xf numFmtId="9" fontId="9" fillId="0" borderId="2" xfId="0" applyNumberFormat="1" applyFont="1" applyBorder="1" applyAlignment="1">
      <alignment/>
    </xf>
    <xf numFmtId="9" fontId="5" fillId="0" borderId="3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9" fontId="10" fillId="0" borderId="4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9" fontId="10" fillId="0" borderId="4" xfId="0" applyNumberFormat="1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Arkusz1!$E$856</c:f>
              <c:strCache>
                <c:ptCount val="1"/>
                <c:pt idx="0">
                  <c:v>4 000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Arkusz1!$F$856:$J$856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Arkusz1!$E$857</c:f>
              <c:strCache>
                <c:ptCount val="1"/>
                <c:pt idx="0">
                  <c:v>1 000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Arkusz1!$F$857:$J$857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Arkusz1!$E$862</c:f>
              <c:strCache>
                <c:ptCount val="1"/>
                <c:pt idx="0">
                  <c:v>5 000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Arkusz1!$F$862:$J$862</c:f>
              <c:numCache>
                <c:ptCount val="5"/>
                <c:pt idx="0">
                  <c:v>21500</c:v>
                </c:pt>
                <c:pt idx="1">
                  <c:v>21500</c:v>
                </c:pt>
                <c:pt idx="2">
                  <c:v>12000</c:v>
                </c:pt>
                <c:pt idx="3">
                  <c:v>0.5581395348837209</c:v>
                </c:pt>
                <c:pt idx="4">
                  <c:v>0.0005443167502548196</c:v>
                </c:pt>
              </c:numCache>
            </c:numRef>
          </c:val>
        </c:ser>
        <c:ser>
          <c:idx val="4"/>
          <c:order val="4"/>
          <c:tx>
            <c:strRef>
              <c:f>Arkusz1!$E$863</c:f>
              <c:strCache>
                <c:ptCount val="1"/>
                <c:pt idx="0">
                  <c:v>3 000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Arkusz1!$F$863:$J$863</c:f>
              <c:numCache>
                <c:ptCount val="5"/>
                <c:pt idx="0">
                  <c:v>12000</c:v>
                </c:pt>
                <c:pt idx="1">
                  <c:v>12000</c:v>
                </c:pt>
                <c:pt idx="2">
                  <c:v>12000</c:v>
                </c:pt>
                <c:pt idx="3">
                  <c:v>1</c:v>
                </c:pt>
                <c:pt idx="4">
                  <c:v>0.0005443167502548196</c:v>
                </c:pt>
              </c:numCache>
            </c:numRef>
          </c:val>
        </c:ser>
        <c:ser>
          <c:idx val="5"/>
          <c:order val="5"/>
          <c:tx>
            <c:strRef>
              <c:f>Arkusz1!$E$864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Arkusz1!$F$864:$J$864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axId val="38089561"/>
        <c:axId val="7261730"/>
      </c:barChart>
      <c:catAx>
        <c:axId val="3808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61730"/>
        <c:crosses val="autoZero"/>
        <c:auto val="1"/>
        <c:lblOffset val="100"/>
        <c:noMultiLvlLbl val="0"/>
      </c:catAx>
      <c:valAx>
        <c:axId val="7261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89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2"/>
  <sheetViews>
    <sheetView tabSelected="1" workbookViewId="0" topLeftCell="A1255">
      <selection activeCell="H59" sqref="H59"/>
    </sheetView>
  </sheetViews>
  <sheetFormatPr defaultColWidth="9.00390625" defaultRowHeight="12.75"/>
  <cols>
    <col min="1" max="1" width="4.25390625" style="187" customWidth="1"/>
    <col min="2" max="2" width="7.625" style="0" customWidth="1"/>
    <col min="3" max="3" width="37.375" style="106" customWidth="1"/>
    <col min="4" max="4" width="12.00390625" style="27" hidden="1" customWidth="1"/>
    <col min="5" max="5" width="10.75390625" style="36" hidden="1" customWidth="1"/>
    <col min="6" max="8" width="12.875" style="36" customWidth="1"/>
    <col min="9" max="9" width="6.875" style="196" customWidth="1"/>
    <col min="10" max="10" width="7.00390625" style="127" customWidth="1"/>
    <col min="12" max="12" width="10.125" style="0" bestFit="1" customWidth="1"/>
    <col min="13" max="13" width="9.75390625" style="0" bestFit="1" customWidth="1"/>
  </cols>
  <sheetData>
    <row r="1" ht="12.75">
      <c r="G1" s="36" t="s">
        <v>500</v>
      </c>
    </row>
    <row r="2" ht="12.75">
      <c r="G2" s="36" t="s">
        <v>609</v>
      </c>
    </row>
    <row r="3" ht="12.75">
      <c r="G3" s="36" t="s">
        <v>501</v>
      </c>
    </row>
    <row r="4" ht="12.75">
      <c r="G4" s="36" t="s">
        <v>610</v>
      </c>
    </row>
    <row r="5" spans="1:8" ht="15">
      <c r="A5" s="186"/>
      <c r="B5" s="2" t="s">
        <v>611</v>
      </c>
      <c r="C5" s="110"/>
      <c r="D5" s="20"/>
      <c r="E5" s="33"/>
      <c r="F5" s="33"/>
      <c r="G5" s="33"/>
      <c r="H5" s="33"/>
    </row>
    <row r="6" spans="1:9" ht="12.75">
      <c r="A6" s="188"/>
      <c r="B6" s="39" t="s">
        <v>0</v>
      </c>
      <c r="C6" s="111"/>
      <c r="D6" s="21"/>
      <c r="E6" s="34"/>
      <c r="F6" s="34"/>
      <c r="G6" s="34"/>
      <c r="H6" s="34"/>
      <c r="I6" s="197"/>
    </row>
    <row r="7" spans="1:10" ht="12.75">
      <c r="A7" s="189"/>
      <c r="B7" s="3"/>
      <c r="C7" s="112"/>
      <c r="D7" s="22"/>
      <c r="E7" s="35"/>
      <c r="F7" s="163"/>
      <c r="G7" s="163"/>
      <c r="H7" s="163"/>
      <c r="I7" s="198"/>
      <c r="J7" s="128"/>
    </row>
    <row r="8" spans="1:10" ht="14.25" customHeight="1">
      <c r="A8" s="178"/>
      <c r="B8" s="4" t="s">
        <v>502</v>
      </c>
      <c r="C8" s="113"/>
      <c r="D8" s="30" t="s">
        <v>1</v>
      </c>
      <c r="E8" s="101" t="s">
        <v>182</v>
      </c>
      <c r="F8" s="234" t="s">
        <v>505</v>
      </c>
      <c r="G8" s="235"/>
      <c r="H8" s="155"/>
      <c r="I8" s="102" t="s">
        <v>2</v>
      </c>
      <c r="J8" s="138" t="s">
        <v>3</v>
      </c>
    </row>
    <row r="9" spans="1:10" ht="12.75">
      <c r="A9" s="178" t="s">
        <v>4</v>
      </c>
      <c r="B9" s="41" t="s">
        <v>503</v>
      </c>
      <c r="C9" s="113" t="s">
        <v>5</v>
      </c>
      <c r="D9" s="30" t="s">
        <v>6</v>
      </c>
      <c r="E9" s="104" t="s">
        <v>183</v>
      </c>
      <c r="F9" s="231" t="s">
        <v>506</v>
      </c>
      <c r="G9" s="155" t="s">
        <v>507</v>
      </c>
      <c r="H9" s="28" t="s">
        <v>6</v>
      </c>
      <c r="I9" s="102" t="s">
        <v>213</v>
      </c>
      <c r="J9" s="102" t="s">
        <v>509</v>
      </c>
    </row>
    <row r="10" spans="1:10" ht="12.75">
      <c r="A10" s="190"/>
      <c r="B10" s="5" t="s">
        <v>504</v>
      </c>
      <c r="C10" s="114"/>
      <c r="D10" s="31" t="s">
        <v>7</v>
      </c>
      <c r="E10" s="230" t="s">
        <v>184</v>
      </c>
      <c r="F10" s="232" t="s">
        <v>184</v>
      </c>
      <c r="G10" s="233" t="s">
        <v>508</v>
      </c>
      <c r="H10" s="233"/>
      <c r="I10" s="109" t="s">
        <v>185</v>
      </c>
      <c r="J10" s="109" t="s">
        <v>336</v>
      </c>
    </row>
    <row r="11" spans="1:10" ht="12.75">
      <c r="A11" s="191">
        <v>1</v>
      </c>
      <c r="B11" s="55">
        <v>2</v>
      </c>
      <c r="C11" s="115">
        <v>3</v>
      </c>
      <c r="D11" s="55"/>
      <c r="E11" s="55">
        <v>4</v>
      </c>
      <c r="F11" s="184">
        <v>4</v>
      </c>
      <c r="G11" s="184">
        <v>5</v>
      </c>
      <c r="H11" s="184">
        <v>6</v>
      </c>
      <c r="I11" s="205">
        <v>7</v>
      </c>
      <c r="J11" s="131">
        <v>8</v>
      </c>
    </row>
    <row r="12" spans="1:10" ht="12.75">
      <c r="A12" s="178">
        <v>1</v>
      </c>
      <c r="B12" s="8" t="s">
        <v>110</v>
      </c>
      <c r="C12" s="79" t="s">
        <v>113</v>
      </c>
      <c r="D12" s="25">
        <f>D67</f>
        <v>0</v>
      </c>
      <c r="E12" s="43" t="e">
        <f>E67</f>
        <v>#REF!</v>
      </c>
      <c r="F12" s="25">
        <f>F67</f>
        <v>100</v>
      </c>
      <c r="G12" s="25">
        <f>G67</f>
        <v>169800</v>
      </c>
      <c r="H12" s="25">
        <f>H67</f>
        <v>140305.66</v>
      </c>
      <c r="I12" s="199">
        <f>H12/G12</f>
        <v>0.8262995288574794</v>
      </c>
      <c r="J12" s="132">
        <f>H12/$H54</f>
        <v>0.004415621031827221</v>
      </c>
    </row>
    <row r="13" spans="1:10" ht="12.75">
      <c r="A13" s="178"/>
      <c r="B13" s="93"/>
      <c r="C13" s="80"/>
      <c r="D13" s="23"/>
      <c r="E13" s="43"/>
      <c r="F13" s="157"/>
      <c r="G13" s="157"/>
      <c r="H13" s="157"/>
      <c r="I13" s="199"/>
      <c r="J13" s="132"/>
    </row>
    <row r="14" spans="1:10" ht="12.75">
      <c r="A14" s="178">
        <v>2</v>
      </c>
      <c r="B14" s="137">
        <v>600</v>
      </c>
      <c r="C14" s="79" t="s">
        <v>112</v>
      </c>
      <c r="D14" s="25">
        <f>D82</f>
        <v>0</v>
      </c>
      <c r="E14" s="43" t="e">
        <f>E82</f>
        <v>#REF!</v>
      </c>
      <c r="F14" s="25">
        <f>F82</f>
        <v>4667650</v>
      </c>
      <c r="G14" s="25">
        <f>G82</f>
        <v>2805521</v>
      </c>
      <c r="H14" s="25">
        <f>H82</f>
        <v>2456849.3200000003</v>
      </c>
      <c r="I14" s="199">
        <f>H14/G14</f>
        <v>0.8757194546039756</v>
      </c>
      <c r="J14" s="132">
        <f>H14/$H54</f>
        <v>0.0773205837128909</v>
      </c>
    </row>
    <row r="15" spans="1:10" ht="15">
      <c r="A15" s="178"/>
      <c r="B15" s="94"/>
      <c r="C15" s="79"/>
      <c r="D15" s="25"/>
      <c r="E15" s="43"/>
      <c r="F15" s="157"/>
      <c r="G15" s="157"/>
      <c r="H15" s="157"/>
      <c r="I15" s="199"/>
      <c r="J15" s="132"/>
    </row>
    <row r="16" spans="1:10" ht="12.75">
      <c r="A16" s="178">
        <v>3</v>
      </c>
      <c r="B16" s="62">
        <v>630</v>
      </c>
      <c r="C16" s="79" t="s">
        <v>144</v>
      </c>
      <c r="D16" s="23"/>
      <c r="E16" s="43" t="e">
        <f>E155</f>
        <v>#REF!</v>
      </c>
      <c r="F16" s="25">
        <f>F155</f>
        <v>260700</v>
      </c>
      <c r="G16" s="25">
        <f>G155</f>
        <v>284683</v>
      </c>
      <c r="H16" s="25">
        <f>H155</f>
        <v>283203.61</v>
      </c>
      <c r="I16" s="199">
        <f>H16/G16</f>
        <v>0.9948033777921407</v>
      </c>
      <c r="J16" s="132">
        <f>H16/$H54</f>
        <v>0.008912825160477447</v>
      </c>
    </row>
    <row r="17" spans="1:10" ht="12.75">
      <c r="A17" s="178"/>
      <c r="B17" s="62"/>
      <c r="C17" s="79"/>
      <c r="D17" s="23"/>
      <c r="E17" s="43"/>
      <c r="F17" s="157"/>
      <c r="G17" s="157"/>
      <c r="H17" s="157"/>
      <c r="I17" s="199"/>
      <c r="J17" s="132"/>
    </row>
    <row r="18" spans="1:10" ht="12.75">
      <c r="A18" s="178">
        <v>4</v>
      </c>
      <c r="B18" s="62">
        <v>700</v>
      </c>
      <c r="C18" s="79" t="s">
        <v>115</v>
      </c>
      <c r="D18" s="25">
        <f>SUM(D163)</f>
        <v>0</v>
      </c>
      <c r="E18" s="43" t="e">
        <f>E163</f>
        <v>#REF!</v>
      </c>
      <c r="F18" s="25">
        <f>F163</f>
        <v>6214896</v>
      </c>
      <c r="G18" s="25">
        <f>G163</f>
        <v>8151830</v>
      </c>
      <c r="H18" s="25">
        <f>H163</f>
        <v>8031395.14</v>
      </c>
      <c r="I18" s="199">
        <f>H18/G18</f>
        <v>0.9852260339089505</v>
      </c>
      <c r="J18" s="132">
        <f>H18/$H54</f>
        <v>0.2527595629078608</v>
      </c>
    </row>
    <row r="19" spans="1:10" ht="12.75">
      <c r="A19" s="178"/>
      <c r="B19" s="93"/>
      <c r="C19" s="80"/>
      <c r="D19" s="23"/>
      <c r="E19" s="43"/>
      <c r="F19" s="157"/>
      <c r="G19" s="157"/>
      <c r="H19" s="157"/>
      <c r="I19" s="199"/>
      <c r="J19" s="132"/>
    </row>
    <row r="20" spans="1:10" ht="12.75">
      <c r="A20" s="178">
        <v>5</v>
      </c>
      <c r="B20" s="62">
        <v>710</v>
      </c>
      <c r="C20" s="79" t="s">
        <v>117</v>
      </c>
      <c r="D20" s="25"/>
      <c r="E20" s="43" t="e">
        <f>E215</f>
        <v>#REF!</v>
      </c>
      <c r="F20" s="25">
        <f>F215</f>
        <v>565000</v>
      </c>
      <c r="G20" s="25">
        <f>G215</f>
        <v>696750</v>
      </c>
      <c r="H20" s="25">
        <f>H215</f>
        <v>198916.27000000002</v>
      </c>
      <c r="I20" s="199">
        <f>H20/G20</f>
        <v>0.28549159669895946</v>
      </c>
      <c r="J20" s="132">
        <f>H20/$H54</f>
        <v>0.006260181274116969</v>
      </c>
    </row>
    <row r="21" spans="1:10" ht="12.75">
      <c r="A21" s="178"/>
      <c r="B21" s="93"/>
      <c r="C21" s="79"/>
      <c r="D21" s="25" t="e">
        <f>SUM(#REF!)</f>
        <v>#REF!</v>
      </c>
      <c r="E21" s="43"/>
      <c r="F21" s="157"/>
      <c r="G21" s="157"/>
      <c r="H21" s="157"/>
      <c r="I21" s="199"/>
      <c r="J21" s="132"/>
    </row>
    <row r="22" spans="1:10" ht="12.75">
      <c r="A22" s="178">
        <v>6</v>
      </c>
      <c r="B22" s="62">
        <v>750</v>
      </c>
      <c r="C22" s="79" t="s">
        <v>119</v>
      </c>
      <c r="D22" s="23"/>
      <c r="E22" s="43" t="e">
        <f>E253</f>
        <v>#REF!</v>
      </c>
      <c r="F22" s="25">
        <f>F253</f>
        <v>3955059</v>
      </c>
      <c r="G22" s="25">
        <f>G253</f>
        <v>4994422</v>
      </c>
      <c r="H22" s="25">
        <f>H253</f>
        <v>4535854.490000001</v>
      </c>
      <c r="I22" s="199">
        <f>H22/G22</f>
        <v>0.9081840681464244</v>
      </c>
      <c r="J22" s="132">
        <f>H22/$H54</f>
        <v>0.14274986827581967</v>
      </c>
    </row>
    <row r="23" spans="1:10" ht="12.75">
      <c r="A23" s="178"/>
      <c r="B23" s="93"/>
      <c r="C23" s="79"/>
      <c r="D23" s="25">
        <f>SUM(D587)</f>
        <v>0</v>
      </c>
      <c r="E23" s="43"/>
      <c r="F23" s="157"/>
      <c r="G23" s="157"/>
      <c r="H23" s="157"/>
      <c r="I23" s="199"/>
      <c r="J23" s="132"/>
    </row>
    <row r="24" spans="1:10" ht="12.75">
      <c r="A24" s="178">
        <v>7</v>
      </c>
      <c r="B24" s="95">
        <v>751</v>
      </c>
      <c r="C24" s="81" t="s">
        <v>145</v>
      </c>
      <c r="D24" s="23"/>
      <c r="E24" s="43"/>
      <c r="F24" s="157"/>
      <c r="G24" s="157"/>
      <c r="H24" s="157"/>
      <c r="I24" s="199"/>
      <c r="J24" s="132"/>
    </row>
    <row r="25" spans="1:10" ht="12.75">
      <c r="A25" s="178"/>
      <c r="B25" s="95"/>
      <c r="C25" s="81" t="s">
        <v>146</v>
      </c>
      <c r="D25" s="25" t="e">
        <f>SUM(#REF!)</f>
        <v>#REF!</v>
      </c>
      <c r="E25" s="43"/>
      <c r="F25" s="157"/>
      <c r="G25" s="157"/>
      <c r="H25" s="157"/>
      <c r="I25" s="199"/>
      <c r="J25" s="132"/>
    </row>
    <row r="26" spans="1:10" ht="12.75">
      <c r="A26" s="178"/>
      <c r="B26" s="95"/>
      <c r="C26" s="81" t="s">
        <v>147</v>
      </c>
      <c r="D26" s="23"/>
      <c r="E26" s="43" t="e">
        <f>E468</f>
        <v>#REF!</v>
      </c>
      <c r="F26" s="25">
        <f>F468</f>
        <v>1104</v>
      </c>
      <c r="G26" s="25">
        <f>G468</f>
        <v>10123.999999999998</v>
      </c>
      <c r="H26" s="25">
        <f>H468</f>
        <v>10123.999999999998</v>
      </c>
      <c r="I26" s="199">
        <f>H26/G26</f>
        <v>1</v>
      </c>
      <c r="J26" s="132">
        <f>H26/$H54</f>
        <v>0.00031861684928618546</v>
      </c>
    </row>
    <row r="27" spans="1:10" ht="12.75">
      <c r="A27" s="178"/>
      <c r="B27" s="93"/>
      <c r="C27" s="79"/>
      <c r="D27" s="25" t="e">
        <f>SUM(#REF!)</f>
        <v>#REF!</v>
      </c>
      <c r="E27" s="43"/>
      <c r="F27" s="157"/>
      <c r="G27" s="157"/>
      <c r="H27" s="157"/>
      <c r="I27" s="199"/>
      <c r="J27" s="132"/>
    </row>
    <row r="28" spans="1:10" ht="12.75">
      <c r="A28" s="178">
        <v>8</v>
      </c>
      <c r="B28" s="62">
        <v>752</v>
      </c>
      <c r="C28" s="79" t="s">
        <v>267</v>
      </c>
      <c r="D28" s="25"/>
      <c r="E28" s="43"/>
      <c r="F28" s="157">
        <f>F490</f>
        <v>0</v>
      </c>
      <c r="G28" s="157">
        <f>G490</f>
        <v>0</v>
      </c>
      <c r="H28" s="157">
        <f>H490</f>
        <v>0</v>
      </c>
      <c r="I28" s="199"/>
      <c r="J28" s="132">
        <f>H28/$H54</f>
        <v>0</v>
      </c>
    </row>
    <row r="29" spans="1:10" ht="12.75">
      <c r="A29" s="178"/>
      <c r="B29" s="93"/>
      <c r="C29" s="79"/>
      <c r="D29" s="25"/>
      <c r="E29" s="43"/>
      <c r="F29" s="157"/>
      <c r="G29" s="157"/>
      <c r="H29" s="157"/>
      <c r="I29" s="199"/>
      <c r="J29" s="132"/>
    </row>
    <row r="30" spans="1:10" ht="12.75">
      <c r="A30" s="178">
        <v>9</v>
      </c>
      <c r="B30" s="95">
        <v>754</v>
      </c>
      <c r="C30" s="81" t="s">
        <v>122</v>
      </c>
      <c r="D30" s="23"/>
      <c r="E30" s="43"/>
      <c r="F30" s="157"/>
      <c r="G30" s="157"/>
      <c r="H30" s="157"/>
      <c r="I30" s="199"/>
      <c r="J30" s="132"/>
    </row>
    <row r="31" spans="1:10" ht="12.75">
      <c r="A31" s="178"/>
      <c r="B31" s="95"/>
      <c r="C31" s="81" t="s">
        <v>123</v>
      </c>
      <c r="D31" s="25" t="e">
        <f>SUM(#REF!)</f>
        <v>#REF!</v>
      </c>
      <c r="E31" s="43" t="e">
        <f>E494</f>
        <v>#REF!</v>
      </c>
      <c r="F31" s="25">
        <f>F494</f>
        <v>571713</v>
      </c>
      <c r="G31" s="25">
        <f>G494</f>
        <v>723973</v>
      </c>
      <c r="H31" s="25">
        <f>H494</f>
        <v>601866.8099999999</v>
      </c>
      <c r="I31" s="199">
        <f>H31/G31</f>
        <v>0.8313387515832772</v>
      </c>
      <c r="J31" s="132">
        <f>H31/$H54</f>
        <v>0.018941614647582698</v>
      </c>
    </row>
    <row r="32" spans="1:10" ht="12.75">
      <c r="A32" s="178"/>
      <c r="B32" s="93"/>
      <c r="C32" s="80"/>
      <c r="D32" s="23"/>
      <c r="E32" s="43"/>
      <c r="F32" s="157"/>
      <c r="G32" s="157"/>
      <c r="H32" s="157"/>
      <c r="I32" s="199"/>
      <c r="J32" s="132"/>
    </row>
    <row r="33" spans="1:10" ht="12.75">
      <c r="A33" s="178">
        <v>10</v>
      </c>
      <c r="B33" s="95">
        <v>757</v>
      </c>
      <c r="C33" s="81" t="s">
        <v>125</v>
      </c>
      <c r="D33" s="25" t="e">
        <f>#REF!</f>
        <v>#REF!</v>
      </c>
      <c r="E33" s="43" t="e">
        <f>E566</f>
        <v>#REF!</v>
      </c>
      <c r="F33" s="25">
        <f>F566</f>
        <v>528968.34</v>
      </c>
      <c r="G33" s="25">
        <f>G566</f>
        <v>251968.34</v>
      </c>
      <c r="H33" s="25">
        <f>H566</f>
        <v>215294.05000000002</v>
      </c>
      <c r="I33" s="199">
        <f>H33/G33</f>
        <v>0.8544488168632616</v>
      </c>
      <c r="J33" s="132">
        <f>H33/$H54</f>
        <v>0.006775613579717749</v>
      </c>
    </row>
    <row r="34" spans="1:10" ht="12.75">
      <c r="A34" s="178"/>
      <c r="B34" s="93"/>
      <c r="C34" s="80"/>
      <c r="D34" s="23"/>
      <c r="E34" s="43"/>
      <c r="F34" s="157"/>
      <c r="G34" s="157"/>
      <c r="H34" s="157"/>
      <c r="I34" s="199"/>
      <c r="J34" s="132"/>
    </row>
    <row r="35" spans="1:10" ht="12.75">
      <c r="A35" s="178">
        <v>11</v>
      </c>
      <c r="B35" s="95">
        <v>758</v>
      </c>
      <c r="C35" s="81" t="s">
        <v>106</v>
      </c>
      <c r="D35" s="25" t="e">
        <f>SUM(#REF!)</f>
        <v>#REF!</v>
      </c>
      <c r="E35" s="43">
        <f>E580</f>
        <v>183335</v>
      </c>
      <c r="F35" s="25">
        <f>F580</f>
        <v>201202.44</v>
      </c>
      <c r="G35" s="25">
        <f>G580</f>
        <v>119277.44</v>
      </c>
      <c r="H35" s="25">
        <f>H580</f>
        <v>11899</v>
      </c>
      <c r="I35" s="199">
        <f>H35/G35</f>
        <v>0.09975901561938284</v>
      </c>
      <c r="J35" s="132">
        <f>H35/$H54</f>
        <v>0.0003744786536602451</v>
      </c>
    </row>
    <row r="36" spans="1:10" ht="12.75">
      <c r="A36" s="178"/>
      <c r="B36" s="93"/>
      <c r="C36" s="80"/>
      <c r="D36" s="23"/>
      <c r="E36" s="43"/>
      <c r="F36" s="157"/>
      <c r="G36" s="157"/>
      <c r="H36" s="157"/>
      <c r="I36" s="199"/>
      <c r="J36" s="132"/>
    </row>
    <row r="37" spans="1:10" ht="15">
      <c r="A37" s="178">
        <v>12</v>
      </c>
      <c r="B37" s="94">
        <v>801</v>
      </c>
      <c r="C37" s="79" t="s">
        <v>8</v>
      </c>
      <c r="D37" s="25" t="e">
        <f>SUM(#REF!)</f>
        <v>#REF!</v>
      </c>
      <c r="E37" s="43" t="e">
        <f>E587</f>
        <v>#REF!</v>
      </c>
      <c r="F37" s="25">
        <f>F587</f>
        <v>7464660.56</v>
      </c>
      <c r="G37" s="25">
        <f>G587</f>
        <v>8520137.82</v>
      </c>
      <c r="H37" s="25">
        <f>H587</f>
        <v>7667661.859999999</v>
      </c>
      <c r="I37" s="199">
        <f>H37/G37</f>
        <v>0.8999457546333446</v>
      </c>
      <c r="J37" s="132">
        <f>H37/$H54</f>
        <v>0.24131235314352556</v>
      </c>
    </row>
    <row r="38" spans="1:10" ht="12.75">
      <c r="A38" s="178"/>
      <c r="B38" s="93"/>
      <c r="C38" s="80"/>
      <c r="D38" s="23"/>
      <c r="E38" s="43"/>
      <c r="F38" s="157"/>
      <c r="G38" s="157"/>
      <c r="H38" s="157"/>
      <c r="I38" s="199"/>
      <c r="J38" s="132"/>
    </row>
    <row r="39" spans="1:10" ht="12.75">
      <c r="A39" s="178">
        <v>13</v>
      </c>
      <c r="B39" s="62">
        <v>851</v>
      </c>
      <c r="C39" s="79" t="s">
        <v>9</v>
      </c>
      <c r="D39" s="25"/>
      <c r="E39" s="43" t="e">
        <f>E847</f>
        <v>#REF!</v>
      </c>
      <c r="F39" s="25">
        <f>F847</f>
        <v>320000</v>
      </c>
      <c r="G39" s="25">
        <f>G847</f>
        <v>324500</v>
      </c>
      <c r="H39" s="25">
        <f>H847</f>
        <v>255994.95</v>
      </c>
      <c r="I39" s="199">
        <f>H39/G39</f>
        <v>0.7888904468412943</v>
      </c>
      <c r="J39" s="132">
        <f>H39/$H54</f>
        <v>0.008056529474730798</v>
      </c>
    </row>
    <row r="40" spans="1:10" ht="12.75">
      <c r="A40" s="178"/>
      <c r="B40" s="62"/>
      <c r="C40" s="79"/>
      <c r="D40" s="25"/>
      <c r="E40" s="43"/>
      <c r="F40" s="157"/>
      <c r="G40" s="157"/>
      <c r="H40" s="157"/>
      <c r="I40" s="199"/>
      <c r="J40" s="132"/>
    </row>
    <row r="41" spans="1:10" ht="12.75">
      <c r="A41" s="178">
        <v>14</v>
      </c>
      <c r="B41" s="62">
        <v>852</v>
      </c>
      <c r="C41" s="79" t="s">
        <v>224</v>
      </c>
      <c r="D41" s="25"/>
      <c r="E41" s="43"/>
      <c r="F41" s="157">
        <f>F881</f>
        <v>2960341</v>
      </c>
      <c r="G41" s="157">
        <f>G881</f>
        <v>2994706</v>
      </c>
      <c r="H41" s="157">
        <f>H881</f>
        <v>2631079.6</v>
      </c>
      <c r="I41" s="199">
        <f>H41/G41</f>
        <v>0.8785769287536073</v>
      </c>
      <c r="J41" s="132">
        <f>H41/$H54</f>
        <v>0.08280386135649519</v>
      </c>
    </row>
    <row r="42" spans="1:10" ht="12.75">
      <c r="A42" s="178"/>
      <c r="B42" s="93"/>
      <c r="C42" s="79"/>
      <c r="D42" s="25" t="e">
        <f>SUM(#REF!)</f>
        <v>#REF!</v>
      </c>
      <c r="E42" s="43"/>
      <c r="F42" s="157"/>
      <c r="G42" s="157"/>
      <c r="H42" s="157"/>
      <c r="I42" s="199"/>
      <c r="J42" s="132"/>
    </row>
    <row r="43" spans="1:10" ht="12.75">
      <c r="A43" s="178">
        <v>15</v>
      </c>
      <c r="B43" s="62">
        <v>854</v>
      </c>
      <c r="C43" s="79" t="s">
        <v>132</v>
      </c>
      <c r="D43" s="25"/>
      <c r="E43" s="43" t="e">
        <f>E1001</f>
        <v>#REF!</v>
      </c>
      <c r="F43" s="25">
        <f>F1001</f>
        <v>297238</v>
      </c>
      <c r="G43" s="25">
        <f>G1001</f>
        <v>319999</v>
      </c>
      <c r="H43" s="25">
        <f>H1001</f>
        <v>237171.18</v>
      </c>
      <c r="I43" s="199">
        <f>H43/G43</f>
        <v>0.7411622536320426</v>
      </c>
      <c r="J43" s="132">
        <f>H43/$H54</f>
        <v>0.007464118343845</v>
      </c>
    </row>
    <row r="44" spans="1:10" ht="12.75">
      <c r="A44" s="178"/>
      <c r="B44" s="93"/>
      <c r="C44" s="79"/>
      <c r="D44" s="25" t="e">
        <f>#REF!</f>
        <v>#REF!</v>
      </c>
      <c r="E44" s="43"/>
      <c r="F44" s="157"/>
      <c r="G44" s="157"/>
      <c r="H44" s="157"/>
      <c r="I44" s="199"/>
      <c r="J44" s="132"/>
    </row>
    <row r="45" spans="1:10" ht="12.75">
      <c r="A45" s="178">
        <v>16</v>
      </c>
      <c r="B45" s="62">
        <v>900</v>
      </c>
      <c r="C45" s="79" t="s">
        <v>136</v>
      </c>
      <c r="D45" s="23"/>
      <c r="E45" s="43"/>
      <c r="F45" s="157"/>
      <c r="G45" s="157"/>
      <c r="H45" s="157"/>
      <c r="I45" s="199"/>
      <c r="J45" s="132"/>
    </row>
    <row r="46" spans="1:10" ht="12.75">
      <c r="A46" s="178"/>
      <c r="B46" s="62"/>
      <c r="C46" s="79" t="s">
        <v>137</v>
      </c>
      <c r="D46" s="25" t="e">
        <f>SUM(#REF!)</f>
        <v>#REF!</v>
      </c>
      <c r="E46" s="43" t="e">
        <f>E1134</f>
        <v>#REF!</v>
      </c>
      <c r="F46" s="25">
        <f>F1134</f>
        <v>2940990</v>
      </c>
      <c r="G46" s="25">
        <f>G1134</f>
        <v>4004510.08</v>
      </c>
      <c r="H46" s="25">
        <f>H1134</f>
        <v>2918626.8899999997</v>
      </c>
      <c r="I46" s="199">
        <f>H46/G46</f>
        <v>0.7288349465210985</v>
      </c>
      <c r="J46" s="132">
        <f>H46/$H54</f>
        <v>0.09185338837749292</v>
      </c>
    </row>
    <row r="47" spans="1:10" ht="12.75">
      <c r="A47" s="178"/>
      <c r="B47" s="93"/>
      <c r="C47" s="79"/>
      <c r="D47" s="25"/>
      <c r="E47" s="43"/>
      <c r="F47" s="157"/>
      <c r="G47" s="157"/>
      <c r="H47" s="157"/>
      <c r="I47" s="199"/>
      <c r="J47" s="132"/>
    </row>
    <row r="48" spans="1:10" ht="12.75">
      <c r="A48" s="178">
        <v>17</v>
      </c>
      <c r="B48" s="62">
        <v>921</v>
      </c>
      <c r="C48" s="79" t="s">
        <v>141</v>
      </c>
      <c r="D48" s="25" t="e">
        <f>#REF!</f>
        <v>#REF!</v>
      </c>
      <c r="E48" s="43"/>
      <c r="F48" s="157"/>
      <c r="G48" s="157"/>
      <c r="H48" s="157"/>
      <c r="I48" s="199"/>
      <c r="J48" s="132"/>
    </row>
    <row r="49" spans="1:10" ht="12.75">
      <c r="A49" s="178"/>
      <c r="B49" s="96"/>
      <c r="C49" s="116" t="s">
        <v>142</v>
      </c>
      <c r="D49" s="38"/>
      <c r="E49" s="43" t="e">
        <f>E1231</f>
        <v>#REF!</v>
      </c>
      <c r="F49" s="25">
        <f>F1231</f>
        <v>1933000</v>
      </c>
      <c r="G49" s="25">
        <f>G1231</f>
        <v>1699315</v>
      </c>
      <c r="H49" s="25">
        <f>H1231</f>
        <v>1393836.1600000001</v>
      </c>
      <c r="I49" s="199">
        <f>H49/G49</f>
        <v>0.8202341296345882</v>
      </c>
      <c r="J49" s="132">
        <f>H49/$H54</f>
        <v>0.04386602980248475</v>
      </c>
    </row>
    <row r="50" spans="1:10" ht="12.75">
      <c r="A50" s="178"/>
      <c r="B50" s="96"/>
      <c r="C50" s="117"/>
      <c r="D50" s="23"/>
      <c r="E50" s="43"/>
      <c r="F50" s="157"/>
      <c r="G50" s="157"/>
      <c r="H50" s="157"/>
      <c r="I50" s="199"/>
      <c r="J50" s="132"/>
    </row>
    <row r="51" spans="1:10" ht="12.75">
      <c r="A51" s="178">
        <v>18</v>
      </c>
      <c r="B51" s="96">
        <v>926</v>
      </c>
      <c r="C51" s="117" t="s">
        <v>170</v>
      </c>
      <c r="D51" s="23"/>
      <c r="E51" s="43" t="e">
        <f>E1279</f>
        <v>#REF!</v>
      </c>
      <c r="F51" s="25">
        <f>F1279</f>
        <v>193000</v>
      </c>
      <c r="G51" s="25">
        <f>G1279</f>
        <v>205411</v>
      </c>
      <c r="H51" s="25">
        <f>H1279</f>
        <v>184762.86999999997</v>
      </c>
      <c r="I51" s="199">
        <f>H51/G51</f>
        <v>0.8994789470865726</v>
      </c>
      <c r="J51" s="132">
        <f>H51/$H54</f>
        <v>0.0058147534081858035</v>
      </c>
    </row>
    <row r="52" spans="1:10" ht="12" customHeight="1">
      <c r="A52" s="190"/>
      <c r="B52" s="97"/>
      <c r="C52" s="118"/>
      <c r="D52" s="24"/>
      <c r="E52" s="44"/>
      <c r="F52" s="158"/>
      <c r="G52" s="158"/>
      <c r="H52" s="158"/>
      <c r="I52" s="200"/>
      <c r="J52" s="133"/>
    </row>
    <row r="53" spans="1:10" ht="12.75">
      <c r="A53" s="192"/>
      <c r="B53" s="91"/>
      <c r="C53" s="117"/>
      <c r="D53" s="23"/>
      <c r="E53" s="43"/>
      <c r="F53" s="157"/>
      <c r="G53" s="157"/>
      <c r="H53" s="157"/>
      <c r="I53" s="199"/>
      <c r="J53" s="241"/>
    </row>
    <row r="54" spans="1:11" s="61" customFormat="1" ht="12.75">
      <c r="A54" s="193"/>
      <c r="B54" s="91"/>
      <c r="C54" s="117" t="s">
        <v>10</v>
      </c>
      <c r="D54" s="59" t="e">
        <f>D48+D46+D44+#REF!+D42+D37+D35+D33+D31+D27+D25+D23+D21+D18+D14+D12+#REF!</f>
        <v>#REF!</v>
      </c>
      <c r="E54" s="60" t="e">
        <f>SUM(E12:E51)</f>
        <v>#REF!</v>
      </c>
      <c r="F54" s="59">
        <f>SUM(F12:F51)</f>
        <v>33075622.34</v>
      </c>
      <c r="G54" s="59">
        <f>SUM(G12:G51)</f>
        <v>36276927.68</v>
      </c>
      <c r="H54" s="59">
        <f>SUM(H12:H51)</f>
        <v>31774841.860000003</v>
      </c>
      <c r="I54" s="199">
        <f>H54/G54</f>
        <v>0.8758967170617907</v>
      </c>
      <c r="J54" s="242">
        <f>H54/$H54</f>
        <v>1</v>
      </c>
      <c r="K54" s="244"/>
    </row>
    <row r="55" spans="1:10" ht="12.75">
      <c r="A55" s="192"/>
      <c r="B55" s="17"/>
      <c r="C55" s="119" t="s">
        <v>11</v>
      </c>
      <c r="D55" s="23"/>
      <c r="E55" s="47"/>
      <c r="F55" s="154"/>
      <c r="G55" s="154"/>
      <c r="H55" s="154"/>
      <c r="I55" s="199"/>
      <c r="J55" s="242"/>
    </row>
    <row r="56" spans="1:10" ht="12.75">
      <c r="A56" s="192"/>
      <c r="B56" s="17"/>
      <c r="C56" s="119" t="s">
        <v>211</v>
      </c>
      <c r="D56" s="23" t="e">
        <f>D74+#REF!+#REF!+#REF!+#REF!+#REF!+#REF!+#REF!+#REF!+#REF!+#REF!+#REF!</f>
        <v>#REF!</v>
      </c>
      <c r="E56" s="48" t="e">
        <f>E74+E113+#REF!+E208+#REF!+E410+E707+E778+E831+#REF!+#REF!+#REF!+#REF!+#REF!</f>
        <v>#REF!</v>
      </c>
      <c r="F56" s="159">
        <f>+F74+F81+F89+F113+F135+F147+F153+F208+F249+F403+F410+F465+F503+F507+F526+F528+F534+F557+F565+F707+F711+F747+F748+F779+F780+F831+F872+F974+F1158+F1170+F1177+F1205+F1214+F1220+F1223+F1241+F1247+F1252+F1268+F1278+F1229</f>
        <v>11779740</v>
      </c>
      <c r="G56" s="159">
        <f>+G74+G81+G89+G113+G135+G147+G153+G208+G249+G403+G410+G465+G503+G507+G526+G528+G534+G557+G565+G707+G711+G747+G748+G779+G780+G831+G872+G974+G1158+G1170+G1177+G1205+G1214+G1220+G1223+G1241+G1247+G1252+G1268+G1278+G1229</f>
        <v>14133474.83</v>
      </c>
      <c r="H56" s="159">
        <f>+H74+H81+H89+H113+H135+H147+H153+H208+H249+H403+H410+H465+H503+H507+H526+H528+H534+H557+H565+H707+H711+H747+H748+H779+H780+H831+H872+H974+H1158+H1170+H1177+H1205+H1214+H1220+H1223+H1241+H1247+H1252+H1268+H1278+H1229</f>
        <v>11837763.010000002</v>
      </c>
      <c r="I56" s="201">
        <f>H56/G56</f>
        <v>0.8375691860909481</v>
      </c>
      <c r="J56" s="134">
        <f>H56/H$54</f>
        <v>0.37255143745977404</v>
      </c>
    </row>
    <row r="57" spans="1:12" ht="12.75">
      <c r="A57" s="194"/>
      <c r="B57" s="18"/>
      <c r="C57" s="120" t="s">
        <v>12</v>
      </c>
      <c r="D57" s="24" t="e">
        <f>D54-D56</f>
        <v>#REF!</v>
      </c>
      <c r="E57" s="49" t="e">
        <f>E54-E56</f>
        <v>#REF!</v>
      </c>
      <c r="F57" s="24">
        <f>F54-F56</f>
        <v>21295882.34</v>
      </c>
      <c r="G57" s="24">
        <f>G54-G56</f>
        <v>22143452.85</v>
      </c>
      <c r="H57" s="24">
        <f>H54-H56</f>
        <v>19937078.85</v>
      </c>
      <c r="I57" s="202">
        <f>H57/G57</f>
        <v>0.9003599838315188</v>
      </c>
      <c r="J57" s="243">
        <f>H57/H$54</f>
        <v>0.627448562540226</v>
      </c>
      <c r="L57" s="27"/>
    </row>
    <row r="58" spans="1:10" ht="12.75">
      <c r="A58" s="213"/>
      <c r="B58" s="37"/>
      <c r="C58" s="214"/>
      <c r="D58" s="38"/>
      <c r="E58" s="215"/>
      <c r="F58" s="38"/>
      <c r="G58" s="38"/>
      <c r="H58" s="38"/>
      <c r="I58" s="203"/>
      <c r="J58" s="216"/>
    </row>
    <row r="59" spans="1:10" ht="12.75">
      <c r="A59" s="213"/>
      <c r="B59" s="37"/>
      <c r="C59" s="214"/>
      <c r="D59" s="38"/>
      <c r="E59" s="215"/>
      <c r="F59" s="38"/>
      <c r="G59" s="38"/>
      <c r="H59" s="38"/>
      <c r="I59" s="203"/>
      <c r="J59" s="216"/>
    </row>
    <row r="60" spans="1:10" ht="12.75">
      <c r="A60" s="213"/>
      <c r="B60" s="37"/>
      <c r="C60" s="214"/>
      <c r="D60" s="38"/>
      <c r="E60" s="215"/>
      <c r="F60" s="38"/>
      <c r="G60" s="38"/>
      <c r="H60" s="38"/>
      <c r="I60" s="203"/>
      <c r="J60" s="216"/>
    </row>
    <row r="61" spans="1:10" s="37" customFormat="1" ht="12.75">
      <c r="A61" s="213"/>
      <c r="C61" s="214"/>
      <c r="D61" s="38"/>
      <c r="E61" s="215"/>
      <c r="F61" s="38"/>
      <c r="G61" s="38"/>
      <c r="H61" s="38"/>
      <c r="I61" s="203"/>
      <c r="J61" s="216"/>
    </row>
    <row r="62" spans="1:10" ht="14.25" customHeight="1">
      <c r="A62" s="195"/>
      <c r="B62" s="56" t="s">
        <v>13</v>
      </c>
      <c r="C62" s="121"/>
      <c r="D62" s="22"/>
      <c r="E62" s="35"/>
      <c r="F62" s="35"/>
      <c r="G62" s="35"/>
      <c r="H62" s="35"/>
      <c r="I62" s="198"/>
      <c r="J62" s="128"/>
    </row>
    <row r="63" spans="1:10" ht="14.25" customHeight="1">
      <c r="A63" s="178"/>
      <c r="B63" s="4" t="s">
        <v>502</v>
      </c>
      <c r="C63" s="113"/>
      <c r="D63" s="30" t="s">
        <v>1</v>
      </c>
      <c r="E63" s="101" t="s">
        <v>182</v>
      </c>
      <c r="F63" s="234" t="s">
        <v>505</v>
      </c>
      <c r="G63" s="235"/>
      <c r="H63" s="155"/>
      <c r="I63" s="102" t="s">
        <v>2</v>
      </c>
      <c r="J63" s="138" t="s">
        <v>3</v>
      </c>
    </row>
    <row r="64" spans="1:10" ht="12.75">
      <c r="A64" s="178" t="s">
        <v>4</v>
      </c>
      <c r="B64" s="41" t="s">
        <v>503</v>
      </c>
      <c r="C64" s="113" t="s">
        <v>5</v>
      </c>
      <c r="D64" s="30" t="s">
        <v>6</v>
      </c>
      <c r="E64" s="104" t="s">
        <v>183</v>
      </c>
      <c r="F64" s="155" t="s">
        <v>506</v>
      </c>
      <c r="G64" s="154" t="s">
        <v>507</v>
      </c>
      <c r="H64" s="28" t="s">
        <v>6</v>
      </c>
      <c r="I64" s="102" t="s">
        <v>213</v>
      </c>
      <c r="J64" s="102" t="s">
        <v>509</v>
      </c>
    </row>
    <row r="65" spans="1:10" ht="12.75">
      <c r="A65" s="190"/>
      <c r="B65" s="5" t="s">
        <v>504</v>
      </c>
      <c r="C65" s="114"/>
      <c r="D65" s="31" t="s">
        <v>7</v>
      </c>
      <c r="E65" s="40" t="s">
        <v>184</v>
      </c>
      <c r="F65" s="233" t="s">
        <v>184</v>
      </c>
      <c r="G65" s="156" t="s">
        <v>508</v>
      </c>
      <c r="H65" s="233"/>
      <c r="I65" s="109" t="s">
        <v>185</v>
      </c>
      <c r="J65" s="109" t="s">
        <v>336</v>
      </c>
    </row>
    <row r="66" spans="1:10" ht="12.75">
      <c r="A66" s="191">
        <v>1</v>
      </c>
      <c r="B66" s="55">
        <v>2</v>
      </c>
      <c r="C66" s="115">
        <v>3</v>
      </c>
      <c r="D66" s="55"/>
      <c r="E66" s="55">
        <v>4</v>
      </c>
      <c r="F66" s="184">
        <v>4</v>
      </c>
      <c r="G66" s="184">
        <v>5</v>
      </c>
      <c r="H66" s="184">
        <v>6</v>
      </c>
      <c r="I66" s="205">
        <v>7</v>
      </c>
      <c r="J66" s="131">
        <v>8</v>
      </c>
    </row>
    <row r="67" spans="1:10" ht="12.75">
      <c r="A67" s="178">
        <v>1</v>
      </c>
      <c r="B67" s="7" t="s">
        <v>110</v>
      </c>
      <c r="C67" s="79" t="s">
        <v>113</v>
      </c>
      <c r="D67" s="25"/>
      <c r="E67" s="43" t="e">
        <f>E68+E71</f>
        <v>#REF!</v>
      </c>
      <c r="F67" s="25">
        <f>F68+F71</f>
        <v>100</v>
      </c>
      <c r="G67" s="25">
        <f>G68+G71</f>
        <v>169800</v>
      </c>
      <c r="H67" s="25">
        <f>H68+H71</f>
        <v>140305.66</v>
      </c>
      <c r="I67" s="199">
        <f>H67/G67</f>
        <v>0.8262995288574794</v>
      </c>
      <c r="J67" s="132">
        <f>F67/H54</f>
        <v>3.1471439083977234E-06</v>
      </c>
    </row>
    <row r="68" spans="1:10" s="66" customFormat="1" ht="12.75">
      <c r="A68" s="178">
        <f>A67+1</f>
        <v>2</v>
      </c>
      <c r="B68" s="63" t="s">
        <v>186</v>
      </c>
      <c r="C68" s="69" t="s">
        <v>187</v>
      </c>
      <c r="D68" s="64"/>
      <c r="E68" s="65">
        <f>E70</f>
        <v>0</v>
      </c>
      <c r="F68" s="64">
        <f>F70</f>
        <v>100</v>
      </c>
      <c r="G68" s="64">
        <f>G70</f>
        <v>800</v>
      </c>
      <c r="H68" s="64">
        <f>H70</f>
        <v>197.45</v>
      </c>
      <c r="I68" s="199">
        <f aca="true" t="shared" si="0" ref="I68:I139">H68/G68</f>
        <v>0.2468125</v>
      </c>
      <c r="J68" s="132">
        <f>F68/H54</f>
        <v>3.1471439083977234E-06</v>
      </c>
    </row>
    <row r="69" spans="1:10" s="61" customFormat="1" ht="12.75">
      <c r="A69" s="178">
        <f>A68+1</f>
        <v>3</v>
      </c>
      <c r="B69" s="86">
        <v>2850</v>
      </c>
      <c r="C69" s="108" t="s">
        <v>188</v>
      </c>
      <c r="D69" s="85"/>
      <c r="E69" s="83"/>
      <c r="F69" s="160"/>
      <c r="G69" s="160"/>
      <c r="H69" s="160"/>
      <c r="I69" s="199"/>
      <c r="J69" s="129"/>
    </row>
    <row r="70" spans="1:10" s="61" customFormat="1" ht="12.75">
      <c r="A70" s="178">
        <f>A69+1</f>
        <v>4</v>
      </c>
      <c r="B70" s="86"/>
      <c r="C70" s="80" t="s">
        <v>189</v>
      </c>
      <c r="D70" s="85"/>
      <c r="E70" s="83">
        <v>0</v>
      </c>
      <c r="F70" s="160">
        <v>100</v>
      </c>
      <c r="G70" s="160">
        <v>800</v>
      </c>
      <c r="H70" s="160">
        <v>197.45</v>
      </c>
      <c r="I70" s="199">
        <f t="shared" si="0"/>
        <v>0.2468125</v>
      </c>
      <c r="J70" s="132">
        <f>F70/H54</f>
        <v>3.1471439083977234E-06</v>
      </c>
    </row>
    <row r="71" spans="1:10" ht="12.75">
      <c r="A71" s="178">
        <f>A70+1</f>
        <v>5</v>
      </c>
      <c r="B71" s="8" t="s">
        <v>111</v>
      </c>
      <c r="C71" s="69" t="s">
        <v>14</v>
      </c>
      <c r="D71" s="25"/>
      <c r="E71" s="45" t="e">
        <f>SUM(E74:E74)</f>
        <v>#REF!</v>
      </c>
      <c r="F71" s="26">
        <f>F72+F73+F74+F81</f>
        <v>0</v>
      </c>
      <c r="G71" s="26">
        <f>G72+G73+G74+G81</f>
        <v>169000</v>
      </c>
      <c r="H71" s="26">
        <f>H72+H73+H74+H81</f>
        <v>140108.21</v>
      </c>
      <c r="I71" s="199"/>
      <c r="J71" s="132">
        <f>F71/H54</f>
        <v>0</v>
      </c>
    </row>
    <row r="72" spans="1:10" ht="12.75">
      <c r="A72" s="178">
        <f aca="true" t="shared" si="1" ref="A72:A158">A71+1</f>
        <v>6</v>
      </c>
      <c r="B72" s="153">
        <v>4210</v>
      </c>
      <c r="C72" s="41" t="s">
        <v>153</v>
      </c>
      <c r="D72" s="25"/>
      <c r="E72" s="45"/>
      <c r="F72" s="28">
        <v>0</v>
      </c>
      <c r="G72" s="154">
        <v>0</v>
      </c>
      <c r="H72" s="154">
        <v>0</v>
      </c>
      <c r="I72" s="199"/>
      <c r="J72" s="132">
        <f>F72/H54</f>
        <v>0</v>
      </c>
    </row>
    <row r="73" spans="1:10" ht="12.75">
      <c r="A73" s="178">
        <f t="shared" si="1"/>
        <v>7</v>
      </c>
      <c r="B73" s="174">
        <v>4300</v>
      </c>
      <c r="C73" s="41" t="s">
        <v>151</v>
      </c>
      <c r="D73" s="25"/>
      <c r="E73" s="45"/>
      <c r="F73" s="161">
        <v>0</v>
      </c>
      <c r="G73" s="221">
        <v>0</v>
      </c>
      <c r="H73" s="221">
        <v>0</v>
      </c>
      <c r="I73" s="199"/>
      <c r="J73" s="132">
        <f>F73/H54</f>
        <v>0</v>
      </c>
    </row>
    <row r="74" spans="1:10" ht="12.75">
      <c r="A74" s="178">
        <f t="shared" si="1"/>
        <v>8</v>
      </c>
      <c r="B74" s="4">
        <v>6050</v>
      </c>
      <c r="C74" s="80" t="s">
        <v>150</v>
      </c>
      <c r="D74" s="25"/>
      <c r="E74" s="48" t="e">
        <f>SUM(#REF!)</f>
        <v>#REF!</v>
      </c>
      <c r="F74" s="23">
        <f>SUM(F76:F77)</f>
        <v>0</v>
      </c>
      <c r="G74" s="23">
        <f>SUM(G76:G77)</f>
        <v>169000</v>
      </c>
      <c r="H74" s="23">
        <f>SUM(H76:H77)</f>
        <v>140108.21</v>
      </c>
      <c r="I74" s="199">
        <f t="shared" si="0"/>
        <v>0.8290426627218934</v>
      </c>
      <c r="J74" s="132">
        <f>F74/H54</f>
        <v>0</v>
      </c>
    </row>
    <row r="75" spans="1:10" ht="12.75">
      <c r="A75" s="178">
        <f t="shared" si="1"/>
        <v>9</v>
      </c>
      <c r="B75" s="4"/>
      <c r="C75" s="80" t="s">
        <v>15</v>
      </c>
      <c r="D75" s="25"/>
      <c r="E75" s="47"/>
      <c r="F75" s="154"/>
      <c r="G75" s="154"/>
      <c r="H75" s="154"/>
      <c r="I75" s="199"/>
      <c r="J75" s="129"/>
    </row>
    <row r="76" spans="1:10" ht="12.75">
      <c r="A76" s="178">
        <f t="shared" si="1"/>
        <v>10</v>
      </c>
      <c r="B76" s="4"/>
      <c r="C76" s="108" t="s">
        <v>510</v>
      </c>
      <c r="D76" s="25"/>
      <c r="E76" s="47"/>
      <c r="F76" s="154">
        <v>0</v>
      </c>
      <c r="G76" s="154">
        <v>144000</v>
      </c>
      <c r="H76" s="154">
        <v>140050</v>
      </c>
      <c r="I76" s="199">
        <f t="shared" si="0"/>
        <v>0.9725694444444445</v>
      </c>
      <c r="J76" s="129">
        <f>H76/H$54</f>
        <v>0.004407575043711012</v>
      </c>
    </row>
    <row r="77" spans="1:10" ht="12.75">
      <c r="A77" s="178">
        <f t="shared" si="1"/>
        <v>11</v>
      </c>
      <c r="B77" s="4"/>
      <c r="C77" s="108" t="s">
        <v>612</v>
      </c>
      <c r="D77" s="25"/>
      <c r="E77" s="47"/>
      <c r="F77" s="154">
        <v>0</v>
      </c>
      <c r="G77" s="154">
        <v>25000</v>
      </c>
      <c r="H77" s="154">
        <v>58.21</v>
      </c>
      <c r="I77" s="199"/>
      <c r="J77" s="129"/>
    </row>
    <row r="78" spans="1:10" ht="12.75">
      <c r="A78" s="178">
        <f t="shared" si="1"/>
        <v>12</v>
      </c>
      <c r="B78" s="4">
        <v>6220</v>
      </c>
      <c r="C78" s="108" t="s">
        <v>295</v>
      </c>
      <c r="D78" s="25"/>
      <c r="E78" s="47"/>
      <c r="F78" s="160"/>
      <c r="G78" s="160"/>
      <c r="H78" s="160"/>
      <c r="I78" s="199"/>
      <c r="J78" s="129"/>
    </row>
    <row r="79" spans="1:10" ht="12.75">
      <c r="A79" s="178">
        <f t="shared" si="1"/>
        <v>13</v>
      </c>
      <c r="B79" s="4"/>
      <c r="C79" s="108" t="s">
        <v>296</v>
      </c>
      <c r="D79" s="25"/>
      <c r="E79" s="47"/>
      <c r="F79" s="160"/>
      <c r="G79" s="160"/>
      <c r="H79" s="160"/>
      <c r="I79" s="199"/>
      <c r="J79" s="129"/>
    </row>
    <row r="80" spans="1:10" ht="12.75">
      <c r="A80" s="178">
        <f t="shared" si="1"/>
        <v>14</v>
      </c>
      <c r="B80" s="4"/>
      <c r="C80" s="108" t="s">
        <v>297</v>
      </c>
      <c r="D80" s="25"/>
      <c r="E80" s="47"/>
      <c r="F80" s="160"/>
      <c r="G80" s="160"/>
      <c r="H80" s="160"/>
      <c r="I80" s="199"/>
      <c r="J80" s="129"/>
    </row>
    <row r="81" spans="1:10" ht="12.75">
      <c r="A81" s="178">
        <f t="shared" si="1"/>
        <v>15</v>
      </c>
      <c r="B81" s="4"/>
      <c r="C81" s="108" t="s">
        <v>298</v>
      </c>
      <c r="D81" s="25"/>
      <c r="E81" s="47"/>
      <c r="F81" s="160">
        <v>0</v>
      </c>
      <c r="G81" s="160">
        <v>0</v>
      </c>
      <c r="H81" s="160">
        <v>0</v>
      </c>
      <c r="I81" s="199"/>
      <c r="J81" s="129">
        <f>H81/H$54</f>
        <v>0</v>
      </c>
    </row>
    <row r="82" spans="1:10" ht="15">
      <c r="A82" s="178">
        <f t="shared" si="1"/>
        <v>16</v>
      </c>
      <c r="B82" s="9">
        <v>600</v>
      </c>
      <c r="C82" s="79" t="s">
        <v>112</v>
      </c>
      <c r="D82" s="25"/>
      <c r="E82" s="43" t="e">
        <f>E83+E90</f>
        <v>#REF!</v>
      </c>
      <c r="F82" s="25">
        <f>F83+F90+F136</f>
        <v>4667650</v>
      </c>
      <c r="G82" s="25">
        <f>G83+G90+G136</f>
        <v>2805521</v>
      </c>
      <c r="H82" s="25">
        <f>H83+H90+H136</f>
        <v>2456849.3200000003</v>
      </c>
      <c r="I82" s="199">
        <f t="shared" si="0"/>
        <v>0.8757194546039756</v>
      </c>
      <c r="J82" s="129">
        <f>H82/H$54</f>
        <v>0.0773205837128909</v>
      </c>
    </row>
    <row r="83" spans="1:10" s="66" customFormat="1" ht="12.75">
      <c r="A83" s="178">
        <f t="shared" si="1"/>
        <v>17</v>
      </c>
      <c r="B83" s="63">
        <v>60014</v>
      </c>
      <c r="C83" s="69" t="s">
        <v>114</v>
      </c>
      <c r="D83" s="64"/>
      <c r="E83" s="65">
        <f>E84</f>
        <v>0</v>
      </c>
      <c r="F83" s="64">
        <f>SUM(F84:F89)</f>
        <v>0</v>
      </c>
      <c r="G83" s="64">
        <f>SUM(G84:G89)</f>
        <v>279302</v>
      </c>
      <c r="H83" s="64">
        <f>SUM(H84:H89)</f>
        <v>279302</v>
      </c>
      <c r="I83" s="199">
        <f t="shared" si="0"/>
        <v>1</v>
      </c>
      <c r="J83" s="129">
        <f>H83/H$54</f>
        <v>0.00879003587903301</v>
      </c>
    </row>
    <row r="84" spans="1:10" s="61" customFormat="1" ht="12.75">
      <c r="A84" s="178">
        <f t="shared" si="1"/>
        <v>18</v>
      </c>
      <c r="B84" s="86">
        <v>4300</v>
      </c>
      <c r="C84" s="80" t="s">
        <v>151</v>
      </c>
      <c r="D84" s="85"/>
      <c r="E84" s="83">
        <v>0</v>
      </c>
      <c r="F84" s="160">
        <v>0</v>
      </c>
      <c r="G84" s="160">
        <v>28200</v>
      </c>
      <c r="H84" s="160">
        <v>28200</v>
      </c>
      <c r="I84" s="199">
        <f t="shared" si="0"/>
        <v>1</v>
      </c>
      <c r="J84" s="129">
        <f>H84/H$54</f>
        <v>0.000887494582168158</v>
      </c>
    </row>
    <row r="85" spans="1:10" s="61" customFormat="1" ht="12.75">
      <c r="A85" s="178">
        <f t="shared" si="1"/>
        <v>19</v>
      </c>
      <c r="B85" s="86">
        <v>6620</v>
      </c>
      <c r="C85" s="80" t="s">
        <v>270</v>
      </c>
      <c r="D85" s="85"/>
      <c r="E85" s="83"/>
      <c r="F85" s="160"/>
      <c r="G85" s="160"/>
      <c r="H85" s="160"/>
      <c r="I85" s="199"/>
      <c r="J85" s="129"/>
    </row>
    <row r="86" spans="1:10" s="61" customFormat="1" ht="12.75">
      <c r="A86" s="178">
        <f t="shared" si="1"/>
        <v>20</v>
      </c>
      <c r="B86" s="86"/>
      <c r="C86" s="80" t="s">
        <v>310</v>
      </c>
      <c r="D86" s="85"/>
      <c r="E86" s="83"/>
      <c r="F86" s="160"/>
      <c r="G86" s="160"/>
      <c r="H86" s="160"/>
      <c r="I86" s="199"/>
      <c r="J86" s="129"/>
    </row>
    <row r="87" spans="1:10" s="61" customFormat="1" ht="12.75">
      <c r="A87" s="178">
        <f t="shared" si="1"/>
        <v>21</v>
      </c>
      <c r="B87" s="86"/>
      <c r="C87" s="80" t="s">
        <v>309</v>
      </c>
      <c r="D87" s="85"/>
      <c r="E87" s="83"/>
      <c r="F87" s="160"/>
      <c r="G87" s="160"/>
      <c r="H87" s="160"/>
      <c r="I87" s="199"/>
      <c r="J87" s="129"/>
    </row>
    <row r="88" spans="1:10" s="61" customFormat="1" ht="12.75">
      <c r="A88" s="178">
        <f t="shared" si="1"/>
        <v>22</v>
      </c>
      <c r="B88" s="86"/>
      <c r="C88" s="80" t="s">
        <v>311</v>
      </c>
      <c r="D88" s="85"/>
      <c r="E88" s="83"/>
      <c r="F88" s="160"/>
      <c r="G88" s="160"/>
      <c r="H88" s="160"/>
      <c r="I88" s="199"/>
      <c r="J88" s="129"/>
    </row>
    <row r="89" spans="1:10" s="61" customFormat="1" ht="12.75">
      <c r="A89" s="178">
        <f t="shared" si="1"/>
        <v>23</v>
      </c>
      <c r="B89" s="86"/>
      <c r="C89" s="80" t="s">
        <v>511</v>
      </c>
      <c r="D89" s="85"/>
      <c r="E89" s="83"/>
      <c r="F89" s="160">
        <v>0</v>
      </c>
      <c r="G89" s="160">
        <v>251102</v>
      </c>
      <c r="H89" s="160">
        <v>251102</v>
      </c>
      <c r="I89" s="199">
        <f t="shared" si="0"/>
        <v>1</v>
      </c>
      <c r="J89" s="129">
        <f aca="true" t="shared" si="2" ref="J89:J117">H89/H$54</f>
        <v>0.007902541296864851</v>
      </c>
    </row>
    <row r="90" spans="1:10" ht="12.75">
      <c r="A90" s="178">
        <f t="shared" si="1"/>
        <v>24</v>
      </c>
      <c r="B90" s="10">
        <v>60016</v>
      </c>
      <c r="C90" s="69" t="s">
        <v>16</v>
      </c>
      <c r="D90" s="25"/>
      <c r="E90" s="45" t="e">
        <f>#REF!+E99+E113</f>
        <v>#REF!</v>
      </c>
      <c r="F90" s="26">
        <f>F91+F92+F99+F109+F113+F135</f>
        <v>4497650</v>
      </c>
      <c r="G90" s="26">
        <f>G91+G92+G99+G109+G113+G135</f>
        <v>2180219</v>
      </c>
      <c r="H90" s="26">
        <f>H91+H92+H99+H109+H113+H135</f>
        <v>1935408.82</v>
      </c>
      <c r="I90" s="199">
        <f t="shared" si="0"/>
        <v>0.8877130324981115</v>
      </c>
      <c r="J90" s="129">
        <f t="shared" si="2"/>
        <v>0.06091010078122226</v>
      </c>
    </row>
    <row r="91" spans="1:10" s="61" customFormat="1" ht="12.75">
      <c r="A91" s="178">
        <f t="shared" si="1"/>
        <v>25</v>
      </c>
      <c r="B91" s="86">
        <v>4210</v>
      </c>
      <c r="C91" s="80" t="s">
        <v>153</v>
      </c>
      <c r="D91" s="85"/>
      <c r="E91" s="83"/>
      <c r="F91" s="85">
        <v>0</v>
      </c>
      <c r="G91" s="160">
        <v>6305</v>
      </c>
      <c r="H91" s="160">
        <v>6304.96</v>
      </c>
      <c r="I91" s="199">
        <f t="shared" si="0"/>
        <v>0.9999936558287074</v>
      </c>
      <c r="J91" s="129">
        <f t="shared" si="2"/>
        <v>0.0001984261645669131</v>
      </c>
    </row>
    <row r="92" spans="1:10" s="61" customFormat="1" ht="12.75">
      <c r="A92" s="178">
        <f t="shared" si="1"/>
        <v>26</v>
      </c>
      <c r="B92" s="86">
        <v>4270</v>
      </c>
      <c r="C92" s="80" t="s">
        <v>152</v>
      </c>
      <c r="D92" s="85"/>
      <c r="E92" s="83"/>
      <c r="F92" s="85">
        <f>SUM(F94:F98)</f>
        <v>0</v>
      </c>
      <c r="G92" s="85">
        <f>SUM(G94:G98)</f>
        <v>138000</v>
      </c>
      <c r="H92" s="85">
        <f>SUM(H94:H98)</f>
        <v>119784.3</v>
      </c>
      <c r="I92" s="199">
        <f t="shared" si="0"/>
        <v>0.8680021739130435</v>
      </c>
      <c r="J92" s="129">
        <f t="shared" si="2"/>
        <v>0.0037697843006668542</v>
      </c>
    </row>
    <row r="93" spans="1:10" s="61" customFormat="1" ht="12.75">
      <c r="A93" s="178">
        <f t="shared" si="1"/>
        <v>27</v>
      </c>
      <c r="B93" s="86"/>
      <c r="C93" s="80" t="s">
        <v>15</v>
      </c>
      <c r="D93" s="85"/>
      <c r="E93" s="83"/>
      <c r="F93" s="85"/>
      <c r="G93" s="160"/>
      <c r="H93" s="160"/>
      <c r="I93" s="199"/>
      <c r="J93" s="129"/>
    </row>
    <row r="94" spans="1:10" s="61" customFormat="1" ht="12.75">
      <c r="A94" s="178">
        <f t="shared" si="1"/>
        <v>28</v>
      </c>
      <c r="B94" s="86"/>
      <c r="C94" s="80" t="s">
        <v>512</v>
      </c>
      <c r="D94" s="85"/>
      <c r="E94" s="83"/>
      <c r="F94" s="85">
        <v>0</v>
      </c>
      <c r="G94" s="160">
        <v>63215</v>
      </c>
      <c r="H94" s="160">
        <v>63214.3</v>
      </c>
      <c r="I94" s="199">
        <f t="shared" si="0"/>
        <v>0.9999889266787947</v>
      </c>
      <c r="J94" s="129">
        <f t="shared" si="2"/>
        <v>0.001989444991686262</v>
      </c>
    </row>
    <row r="95" spans="1:10" s="61" customFormat="1" ht="12.75">
      <c r="A95" s="178">
        <f t="shared" si="1"/>
        <v>29</v>
      </c>
      <c r="B95" s="86"/>
      <c r="C95" s="80" t="s">
        <v>513</v>
      </c>
      <c r="D95" s="85"/>
      <c r="E95" s="83"/>
      <c r="F95" s="85">
        <v>0</v>
      </c>
      <c r="G95" s="160">
        <v>2440</v>
      </c>
      <c r="H95" s="160">
        <v>2440</v>
      </c>
      <c r="I95" s="199">
        <f t="shared" si="0"/>
        <v>1</v>
      </c>
      <c r="J95" s="129">
        <f t="shared" si="2"/>
        <v>7.679031136490446E-05</v>
      </c>
    </row>
    <row r="96" spans="1:10" s="61" customFormat="1" ht="12.75">
      <c r="A96" s="178">
        <f t="shared" si="1"/>
        <v>30</v>
      </c>
      <c r="B96" s="86"/>
      <c r="C96" s="80" t="s">
        <v>613</v>
      </c>
      <c r="D96" s="85"/>
      <c r="E96" s="83"/>
      <c r="F96" s="85">
        <v>0</v>
      </c>
      <c r="G96" s="160">
        <v>3500</v>
      </c>
      <c r="H96" s="160">
        <v>3500</v>
      </c>
      <c r="I96" s="199">
        <f t="shared" si="0"/>
        <v>1</v>
      </c>
      <c r="J96" s="129">
        <f t="shared" si="2"/>
        <v>0.00011015003679392032</v>
      </c>
    </row>
    <row r="97" spans="1:10" s="61" customFormat="1" ht="12.75">
      <c r="A97" s="178">
        <f t="shared" si="1"/>
        <v>31</v>
      </c>
      <c r="B97" s="86"/>
      <c r="C97" s="80" t="s">
        <v>614</v>
      </c>
      <c r="D97" s="85"/>
      <c r="E97" s="83"/>
      <c r="F97" s="85">
        <v>0</v>
      </c>
      <c r="G97" s="160">
        <v>48715</v>
      </c>
      <c r="H97" s="160">
        <v>30500</v>
      </c>
      <c r="I97" s="199">
        <f t="shared" si="0"/>
        <v>0.626090526531869</v>
      </c>
      <c r="J97" s="129">
        <f t="shared" si="2"/>
        <v>0.0009598788920613056</v>
      </c>
    </row>
    <row r="98" spans="1:10" s="61" customFormat="1" ht="12.75">
      <c r="A98" s="178">
        <f t="shared" si="1"/>
        <v>32</v>
      </c>
      <c r="B98" s="86"/>
      <c r="C98" s="80" t="s">
        <v>615</v>
      </c>
      <c r="D98" s="85"/>
      <c r="E98" s="83"/>
      <c r="F98" s="85">
        <v>0</v>
      </c>
      <c r="G98" s="160">
        <v>20130</v>
      </c>
      <c r="H98" s="160">
        <v>20130</v>
      </c>
      <c r="I98" s="199">
        <f t="shared" si="0"/>
        <v>1</v>
      </c>
      <c r="J98" s="129">
        <f t="shared" si="2"/>
        <v>0.0006335200687604618</v>
      </c>
    </row>
    <row r="99" spans="1:10" s="32" customFormat="1" ht="12.75">
      <c r="A99" s="178">
        <f t="shared" si="1"/>
        <v>33</v>
      </c>
      <c r="B99" s="14">
        <v>4300</v>
      </c>
      <c r="C99" s="122" t="s">
        <v>151</v>
      </c>
      <c r="D99" s="25"/>
      <c r="E99" s="50">
        <f>SUM(E101:E105)</f>
        <v>260000</v>
      </c>
      <c r="F99" s="162">
        <f>SUM(F101:F108)</f>
        <v>250000</v>
      </c>
      <c r="G99" s="162">
        <f>SUM(G101:G108)</f>
        <v>364352</v>
      </c>
      <c r="H99" s="162">
        <f>SUM(H101:H108)</f>
        <v>333176.23</v>
      </c>
      <c r="I99" s="199">
        <f t="shared" si="0"/>
        <v>0.9144350243720358</v>
      </c>
      <c r="J99" s="129">
        <f t="shared" si="2"/>
        <v>0.010485535426674188</v>
      </c>
    </row>
    <row r="100" spans="1:10" s="32" customFormat="1" ht="12.75">
      <c r="A100" s="178">
        <f t="shared" si="1"/>
        <v>34</v>
      </c>
      <c r="B100" s="14"/>
      <c r="C100" s="122" t="s">
        <v>15</v>
      </c>
      <c r="D100" s="25"/>
      <c r="E100" s="47"/>
      <c r="F100" s="154"/>
      <c r="G100" s="154"/>
      <c r="H100" s="154"/>
      <c r="I100" s="199"/>
      <c r="J100" s="129"/>
    </row>
    <row r="101" spans="1:10" s="32" customFormat="1" ht="12.75">
      <c r="A101" s="178">
        <f t="shared" si="1"/>
        <v>35</v>
      </c>
      <c r="B101" s="14"/>
      <c r="C101" s="122" t="s">
        <v>17</v>
      </c>
      <c r="D101" s="25"/>
      <c r="E101" s="47">
        <v>17000</v>
      </c>
      <c r="F101" s="154">
        <v>15000</v>
      </c>
      <c r="G101" s="154">
        <v>14640</v>
      </c>
      <c r="H101" s="154">
        <v>14640</v>
      </c>
      <c r="I101" s="199">
        <f t="shared" si="0"/>
        <v>1</v>
      </c>
      <c r="J101" s="129">
        <f t="shared" si="2"/>
        <v>0.00046074186818942673</v>
      </c>
    </row>
    <row r="102" spans="1:10" ht="12.75">
      <c r="A102" s="178">
        <f t="shared" si="1"/>
        <v>36</v>
      </c>
      <c r="B102" s="4"/>
      <c r="C102" s="80" t="s">
        <v>179</v>
      </c>
      <c r="D102" s="25"/>
      <c r="E102" s="47">
        <v>60000</v>
      </c>
      <c r="F102" s="154">
        <v>76000</v>
      </c>
      <c r="G102" s="154">
        <v>132665</v>
      </c>
      <c r="H102" s="154">
        <v>131439.55</v>
      </c>
      <c r="I102" s="199">
        <f t="shared" si="0"/>
        <v>0.9907628236535634</v>
      </c>
      <c r="J102" s="129">
        <f t="shared" si="2"/>
        <v>0.00413659179105038</v>
      </c>
    </row>
    <row r="103" spans="1:10" ht="12.75">
      <c r="A103" s="178">
        <f t="shared" si="1"/>
        <v>37</v>
      </c>
      <c r="B103" s="4"/>
      <c r="C103" s="80" t="s">
        <v>180</v>
      </c>
      <c r="D103" s="25"/>
      <c r="E103" s="47">
        <f>1000000-900000</f>
        <v>100000</v>
      </c>
      <c r="F103" s="154">
        <v>15000</v>
      </c>
      <c r="G103" s="154">
        <v>50919</v>
      </c>
      <c r="H103" s="154">
        <v>47871.31</v>
      </c>
      <c r="I103" s="199">
        <f t="shared" si="0"/>
        <v>0.9401463108073607</v>
      </c>
      <c r="J103" s="129">
        <f t="shared" si="2"/>
        <v>0.0015065790165351902</v>
      </c>
    </row>
    <row r="104" spans="1:10" ht="12.75">
      <c r="A104" s="178">
        <f t="shared" si="1"/>
        <v>38</v>
      </c>
      <c r="B104" s="4"/>
      <c r="C104" s="80" t="s">
        <v>18</v>
      </c>
      <c r="D104" s="25"/>
      <c r="E104" s="47">
        <v>60000</v>
      </c>
      <c r="F104" s="154">
        <v>35000</v>
      </c>
      <c r="G104" s="154">
        <v>61495</v>
      </c>
      <c r="H104" s="154">
        <v>58887.86</v>
      </c>
      <c r="I104" s="199">
        <f t="shared" si="0"/>
        <v>0.9576040328481991</v>
      </c>
      <c r="J104" s="129">
        <f t="shared" si="2"/>
        <v>0.0018532856987757797</v>
      </c>
    </row>
    <row r="105" spans="1:10" ht="12.75">
      <c r="A105" s="178">
        <f t="shared" si="1"/>
        <v>39</v>
      </c>
      <c r="B105" s="4"/>
      <c r="C105" s="80" t="s">
        <v>19</v>
      </c>
      <c r="D105" s="25"/>
      <c r="E105" s="47">
        <v>23000</v>
      </c>
      <c r="F105" s="154">
        <v>29000</v>
      </c>
      <c r="G105" s="154">
        <v>35605</v>
      </c>
      <c r="H105" s="154">
        <v>35309.86</v>
      </c>
      <c r="I105" s="199">
        <f t="shared" si="0"/>
        <v>0.991710714787249</v>
      </c>
      <c r="J105" s="129">
        <f t="shared" si="2"/>
        <v>0.0011112521080537644</v>
      </c>
    </row>
    <row r="106" spans="1:10" ht="12.75">
      <c r="A106" s="178">
        <f t="shared" si="1"/>
        <v>40</v>
      </c>
      <c r="B106" s="4"/>
      <c r="C106" s="80" t="s">
        <v>439</v>
      </c>
      <c r="D106" s="25"/>
      <c r="E106" s="47"/>
      <c r="F106" s="154"/>
      <c r="G106" s="154"/>
      <c r="H106" s="154"/>
      <c r="I106" s="199"/>
      <c r="J106" s="129"/>
    </row>
    <row r="107" spans="1:10" ht="12.75">
      <c r="A107" s="178">
        <f t="shared" si="1"/>
        <v>41</v>
      </c>
      <c r="B107" s="4"/>
      <c r="C107" s="80" t="s">
        <v>440</v>
      </c>
      <c r="D107" s="25"/>
      <c r="E107" s="47"/>
      <c r="F107" s="154">
        <v>30000</v>
      </c>
      <c r="G107" s="154">
        <v>23000</v>
      </c>
      <c r="H107" s="154">
        <v>0</v>
      </c>
      <c r="I107" s="199">
        <f t="shared" si="0"/>
        <v>0</v>
      </c>
      <c r="J107" s="129">
        <f t="shared" si="2"/>
        <v>0</v>
      </c>
    </row>
    <row r="108" spans="1:10" ht="12.75">
      <c r="A108" s="178">
        <f t="shared" si="1"/>
        <v>42</v>
      </c>
      <c r="B108" s="4"/>
      <c r="C108" s="80" t="s">
        <v>514</v>
      </c>
      <c r="D108" s="25"/>
      <c r="E108" s="47"/>
      <c r="F108" s="154">
        <f>100000-50000</f>
        <v>50000</v>
      </c>
      <c r="G108" s="154">
        <v>46028</v>
      </c>
      <c r="H108" s="154">
        <v>45027.65</v>
      </c>
      <c r="I108" s="199">
        <f t="shared" si="0"/>
        <v>0.9782664899626314</v>
      </c>
      <c r="J108" s="129">
        <f t="shared" si="2"/>
        <v>0.0014170849440696476</v>
      </c>
    </row>
    <row r="109" spans="1:10" ht="12.75">
      <c r="A109" s="178">
        <f t="shared" si="1"/>
        <v>43</v>
      </c>
      <c r="B109" s="4">
        <v>4430</v>
      </c>
      <c r="C109" s="80" t="s">
        <v>337</v>
      </c>
      <c r="D109" s="25"/>
      <c r="E109" s="47"/>
      <c r="F109" s="154">
        <f>SUM(F111:F112)</f>
        <v>7650</v>
      </c>
      <c r="G109" s="154">
        <f>SUM(G111:G112)</f>
        <v>7864</v>
      </c>
      <c r="H109" s="154">
        <f>SUM(H111:H112)</f>
        <v>4144.9400000000005</v>
      </c>
      <c r="I109" s="199">
        <f t="shared" si="0"/>
        <v>0.5270778229908444</v>
      </c>
      <c r="J109" s="129">
        <f t="shared" si="2"/>
        <v>0.00013044722671674063</v>
      </c>
    </row>
    <row r="110" spans="1:10" ht="12.75">
      <c r="A110" s="178">
        <f t="shared" si="1"/>
        <v>44</v>
      </c>
      <c r="B110" s="4"/>
      <c r="C110" s="80" t="s">
        <v>15</v>
      </c>
      <c r="D110" s="25"/>
      <c r="E110" s="47"/>
      <c r="F110" s="154"/>
      <c r="G110" s="154"/>
      <c r="H110" s="154"/>
      <c r="I110" s="199"/>
      <c r="J110" s="129"/>
    </row>
    <row r="111" spans="1:10" ht="12.75">
      <c r="A111" s="178">
        <f t="shared" si="1"/>
        <v>45</v>
      </c>
      <c r="B111" s="4"/>
      <c r="C111" s="80" t="s">
        <v>338</v>
      </c>
      <c r="D111" s="25"/>
      <c r="E111" s="47"/>
      <c r="F111" s="154">
        <v>6000</v>
      </c>
      <c r="G111" s="154">
        <v>6000</v>
      </c>
      <c r="H111" s="154">
        <v>2283</v>
      </c>
      <c r="I111" s="199">
        <f t="shared" si="0"/>
        <v>0.3805</v>
      </c>
      <c r="J111" s="129">
        <f t="shared" si="2"/>
        <v>7.184929542872003E-05</v>
      </c>
    </row>
    <row r="112" spans="1:10" ht="12.75">
      <c r="A112" s="178">
        <f t="shared" si="1"/>
        <v>46</v>
      </c>
      <c r="B112" s="4"/>
      <c r="C112" s="80" t="s">
        <v>339</v>
      </c>
      <c r="D112" s="25"/>
      <c r="E112" s="47"/>
      <c r="F112" s="154">
        <v>1650</v>
      </c>
      <c r="G112" s="154">
        <v>1864</v>
      </c>
      <c r="H112" s="154">
        <v>1861.94</v>
      </c>
      <c r="I112" s="199">
        <f t="shared" si="0"/>
        <v>0.9988948497854078</v>
      </c>
      <c r="J112" s="129">
        <f t="shared" si="2"/>
        <v>5.859793128802057E-05</v>
      </c>
    </row>
    <row r="113" spans="1:13" ht="12.75">
      <c r="A113" s="178">
        <f t="shared" si="1"/>
        <v>47</v>
      </c>
      <c r="B113" s="4">
        <v>6050</v>
      </c>
      <c r="C113" s="80" t="s">
        <v>150</v>
      </c>
      <c r="D113" s="25"/>
      <c r="E113" s="46" t="e">
        <f>SUM(#REF!)</f>
        <v>#REF!</v>
      </c>
      <c r="F113" s="28">
        <f>SUM(F115:F132)</f>
        <v>4220000</v>
      </c>
      <c r="G113" s="28">
        <f>SUM(G115:G132)</f>
        <v>1643698</v>
      </c>
      <c r="H113" s="28">
        <f>SUM(H115:H132)</f>
        <v>1455650.3900000001</v>
      </c>
      <c r="I113" s="199">
        <f t="shared" si="0"/>
        <v>0.8855947929607508</v>
      </c>
      <c r="J113" s="129">
        <f t="shared" si="2"/>
        <v>0.04581141257645271</v>
      </c>
      <c r="L113" s="27"/>
      <c r="M113" s="27"/>
    </row>
    <row r="114" spans="1:10" ht="12.75">
      <c r="A114" s="178">
        <f t="shared" si="1"/>
        <v>48</v>
      </c>
      <c r="B114" s="4"/>
      <c r="C114" s="80" t="s">
        <v>15</v>
      </c>
      <c r="D114" s="25"/>
      <c r="E114" s="47"/>
      <c r="F114" s="154"/>
      <c r="G114" s="154"/>
      <c r="H114" s="154"/>
      <c r="I114" s="199"/>
      <c r="J114" s="129"/>
    </row>
    <row r="115" spans="1:10" ht="12.75">
      <c r="A115" s="178">
        <f t="shared" si="1"/>
        <v>49</v>
      </c>
      <c r="B115" s="4"/>
      <c r="C115" s="80" t="s">
        <v>498</v>
      </c>
      <c r="D115" s="25"/>
      <c r="E115" s="47"/>
      <c r="F115" s="154">
        <v>500000</v>
      </c>
      <c r="G115" s="154">
        <v>30553.2</v>
      </c>
      <c r="H115" s="154">
        <v>30553.2</v>
      </c>
      <c r="I115" s="199">
        <f t="shared" si="0"/>
        <v>1</v>
      </c>
      <c r="J115" s="129">
        <f t="shared" si="2"/>
        <v>0.0009615531726205733</v>
      </c>
    </row>
    <row r="116" spans="1:10" ht="12.75">
      <c r="A116" s="178">
        <f t="shared" si="1"/>
        <v>50</v>
      </c>
      <c r="B116" s="4"/>
      <c r="C116" s="108" t="s">
        <v>619</v>
      </c>
      <c r="D116" s="25"/>
      <c r="E116" s="47"/>
      <c r="F116" s="163">
        <v>1000000</v>
      </c>
      <c r="G116" s="231">
        <v>140300</v>
      </c>
      <c r="H116" s="28">
        <v>140300</v>
      </c>
      <c r="I116" s="199">
        <f t="shared" si="0"/>
        <v>1</v>
      </c>
      <c r="J116" s="129">
        <f t="shared" si="2"/>
        <v>0.004415442903482006</v>
      </c>
    </row>
    <row r="117" spans="1:10" ht="12.75">
      <c r="A117" s="178">
        <f t="shared" si="1"/>
        <v>51</v>
      </c>
      <c r="B117" s="4"/>
      <c r="C117" s="80" t="s">
        <v>618</v>
      </c>
      <c r="D117" s="25"/>
      <c r="E117" s="47"/>
      <c r="F117" s="163">
        <v>0</v>
      </c>
      <c r="G117" s="231">
        <v>30628</v>
      </c>
      <c r="H117" s="28">
        <v>28853</v>
      </c>
      <c r="I117" s="199">
        <f t="shared" si="0"/>
        <v>0.9420464934047277</v>
      </c>
      <c r="J117" s="129">
        <f t="shared" si="2"/>
        <v>0.0009080454318899951</v>
      </c>
    </row>
    <row r="118" spans="1:10" ht="12.75">
      <c r="A118" s="178">
        <f t="shared" si="1"/>
        <v>52</v>
      </c>
      <c r="B118" s="4"/>
      <c r="C118" s="108" t="s">
        <v>616</v>
      </c>
      <c r="D118" s="25"/>
      <c r="E118" s="47"/>
      <c r="F118" s="163">
        <v>1500000</v>
      </c>
      <c r="G118" s="231">
        <v>221040</v>
      </c>
      <c r="H118" s="28">
        <v>221039.6</v>
      </c>
      <c r="I118" s="199">
        <f t="shared" si="0"/>
        <v>0.9999981903727833</v>
      </c>
      <c r="J118" s="129">
        <f>H118/$H54</f>
        <v>0.006956434306546694</v>
      </c>
    </row>
    <row r="119" spans="1:10" ht="12.75">
      <c r="A119" s="178">
        <f t="shared" si="1"/>
        <v>53</v>
      </c>
      <c r="B119" s="4"/>
      <c r="C119" s="80" t="s">
        <v>516</v>
      </c>
      <c r="D119" s="25"/>
      <c r="E119" s="47"/>
      <c r="F119" s="163">
        <v>0</v>
      </c>
      <c r="G119" s="231">
        <v>5000</v>
      </c>
      <c r="H119" s="28">
        <v>5000</v>
      </c>
      <c r="I119" s="199">
        <f t="shared" si="0"/>
        <v>1</v>
      </c>
      <c r="J119" s="129">
        <f>H119/$H54</f>
        <v>0.00015735719541988617</v>
      </c>
    </row>
    <row r="120" spans="1:10" ht="12.75">
      <c r="A120" s="178">
        <f t="shared" si="1"/>
        <v>54</v>
      </c>
      <c r="B120" s="4"/>
      <c r="C120" s="80" t="s">
        <v>515</v>
      </c>
      <c r="D120" s="25"/>
      <c r="E120" s="47"/>
      <c r="F120" s="163">
        <v>0</v>
      </c>
      <c r="G120" s="231">
        <v>68</v>
      </c>
      <c r="H120" s="28">
        <v>67.5</v>
      </c>
      <c r="I120" s="199">
        <f t="shared" si="0"/>
        <v>0.9926470588235294</v>
      </c>
      <c r="J120" s="129">
        <f>H120/$H54</f>
        <v>2.124322138168463E-06</v>
      </c>
    </row>
    <row r="121" spans="1:10" ht="13.5" customHeight="1">
      <c r="A121" s="178">
        <f t="shared" si="1"/>
        <v>55</v>
      </c>
      <c r="B121" s="4"/>
      <c r="C121" s="80" t="s">
        <v>617</v>
      </c>
      <c r="D121" s="25"/>
      <c r="E121" s="47"/>
      <c r="F121" s="163">
        <v>500000</v>
      </c>
      <c r="G121" s="231">
        <v>4270</v>
      </c>
      <c r="H121" s="28">
        <v>4270</v>
      </c>
      <c r="I121" s="199">
        <f t="shared" si="0"/>
        <v>1</v>
      </c>
      <c r="J121" s="129">
        <f>H121/$H54</f>
        <v>0.0001343830448885828</v>
      </c>
    </row>
    <row r="122" spans="1:10" ht="13.5" customHeight="1">
      <c r="A122" s="178">
        <f t="shared" si="1"/>
        <v>56</v>
      </c>
      <c r="B122" s="4"/>
      <c r="C122" s="108" t="s">
        <v>487</v>
      </c>
      <c r="D122" s="25"/>
      <c r="E122" s="47"/>
      <c r="G122" s="231"/>
      <c r="H122" s="28"/>
      <c r="I122" s="199"/>
      <c r="J122" s="134"/>
    </row>
    <row r="123" spans="1:10" ht="13.5" customHeight="1">
      <c r="A123" s="178">
        <f t="shared" si="1"/>
        <v>57</v>
      </c>
      <c r="B123" s="4"/>
      <c r="C123" s="108" t="s">
        <v>488</v>
      </c>
      <c r="D123" s="25"/>
      <c r="E123" s="47"/>
      <c r="F123" s="163">
        <v>500000</v>
      </c>
      <c r="G123" s="231">
        <v>600000</v>
      </c>
      <c r="H123" s="28">
        <v>587343.82</v>
      </c>
      <c r="I123" s="199">
        <f t="shared" si="0"/>
        <v>0.9789063666666665</v>
      </c>
      <c r="J123" s="129">
        <f>H123/H$54</f>
        <v>0.018484555252480488</v>
      </c>
    </row>
    <row r="124" spans="1:10" ht="13.5" customHeight="1">
      <c r="A124" s="178">
        <f t="shared" si="1"/>
        <v>58</v>
      </c>
      <c r="B124" s="4"/>
      <c r="C124" s="80" t="s">
        <v>408</v>
      </c>
      <c r="D124" s="25"/>
      <c r="E124" s="47"/>
      <c r="F124" s="163"/>
      <c r="G124" s="231"/>
      <c r="H124" s="28"/>
      <c r="I124" s="199"/>
      <c r="J124" s="129"/>
    </row>
    <row r="125" spans="1:10" ht="13.5" customHeight="1">
      <c r="A125" s="178">
        <f t="shared" si="1"/>
        <v>59</v>
      </c>
      <c r="B125" s="4"/>
      <c r="C125" s="80" t="s">
        <v>409</v>
      </c>
      <c r="D125" s="25"/>
      <c r="E125" s="47"/>
      <c r="F125" s="163">
        <v>100000</v>
      </c>
      <c r="G125" s="231">
        <v>159946.8</v>
      </c>
      <c r="H125" s="28">
        <v>146391.68</v>
      </c>
      <c r="I125" s="199">
        <f t="shared" si="0"/>
        <v>0.9152523213968645</v>
      </c>
      <c r="J125" s="129">
        <f aca="true" t="shared" si="3" ref="J125:J132">H125/H$54</f>
        <v>0.004607156839521088</v>
      </c>
    </row>
    <row r="126" spans="1:10" ht="13.5" customHeight="1">
      <c r="A126" s="178">
        <f t="shared" si="1"/>
        <v>60</v>
      </c>
      <c r="B126" s="4"/>
      <c r="C126" s="80" t="s">
        <v>499</v>
      </c>
      <c r="D126" s="25"/>
      <c r="E126" s="47"/>
      <c r="F126" s="163">
        <v>90000</v>
      </c>
      <c r="G126" s="231">
        <v>160000</v>
      </c>
      <c r="H126" s="28">
        <v>0</v>
      </c>
      <c r="I126" s="199">
        <f t="shared" si="0"/>
        <v>0</v>
      </c>
      <c r="J126" s="129">
        <f t="shared" si="3"/>
        <v>0</v>
      </c>
    </row>
    <row r="127" spans="1:10" ht="13.5" customHeight="1">
      <c r="A127" s="178">
        <f t="shared" si="1"/>
        <v>61</v>
      </c>
      <c r="B127" s="4"/>
      <c r="C127" s="80" t="s">
        <v>621</v>
      </c>
      <c r="D127" s="25"/>
      <c r="E127" s="47"/>
      <c r="F127" s="163">
        <v>0</v>
      </c>
      <c r="G127" s="231">
        <v>45752</v>
      </c>
      <c r="H127" s="28">
        <v>45752</v>
      </c>
      <c r="I127" s="199">
        <f t="shared" si="0"/>
        <v>1</v>
      </c>
      <c r="J127" s="129">
        <f t="shared" si="3"/>
        <v>0.0014398812809701263</v>
      </c>
    </row>
    <row r="128" spans="1:10" ht="13.5" customHeight="1">
      <c r="A128" s="178">
        <f t="shared" si="1"/>
        <v>62</v>
      </c>
      <c r="B128" s="4"/>
      <c r="C128" s="80" t="s">
        <v>622</v>
      </c>
      <c r="D128" s="25"/>
      <c r="E128" s="47"/>
      <c r="F128" s="163">
        <v>0</v>
      </c>
      <c r="G128" s="231">
        <v>60000</v>
      </c>
      <c r="H128" s="28">
        <v>59999.6</v>
      </c>
      <c r="I128" s="199">
        <f t="shared" si="0"/>
        <v>0.9999933333333333</v>
      </c>
      <c r="J128" s="129">
        <f t="shared" si="3"/>
        <v>0.0018882737564630005</v>
      </c>
    </row>
    <row r="129" spans="1:10" ht="13.5" customHeight="1">
      <c r="A129" s="178">
        <f t="shared" si="1"/>
        <v>63</v>
      </c>
      <c r="B129" s="4"/>
      <c r="C129" s="80" t="s">
        <v>623</v>
      </c>
      <c r="D129" s="25"/>
      <c r="E129" s="47"/>
      <c r="F129" s="163">
        <v>0</v>
      </c>
      <c r="G129" s="231">
        <v>69600</v>
      </c>
      <c r="H129" s="28">
        <v>69540</v>
      </c>
      <c r="I129" s="199">
        <f t="shared" si="0"/>
        <v>0.9991379310344828</v>
      </c>
      <c r="J129" s="129">
        <f t="shared" si="3"/>
        <v>0.0021885238738997767</v>
      </c>
    </row>
    <row r="130" spans="1:10" ht="13.5" customHeight="1">
      <c r="A130" s="178">
        <f t="shared" si="1"/>
        <v>64</v>
      </c>
      <c r="B130" s="4"/>
      <c r="C130" s="80" t="s">
        <v>624</v>
      </c>
      <c r="D130" s="25"/>
      <c r="E130" s="47"/>
      <c r="F130" s="163">
        <v>0</v>
      </c>
      <c r="G130" s="231">
        <v>71540</v>
      </c>
      <c r="H130" s="28">
        <v>71540</v>
      </c>
      <c r="I130" s="199">
        <f t="shared" si="0"/>
        <v>1</v>
      </c>
      <c r="J130" s="129">
        <f t="shared" si="3"/>
        <v>0.0022514667520677316</v>
      </c>
    </row>
    <row r="131" spans="1:10" ht="13.5" customHeight="1">
      <c r="A131" s="178">
        <f t="shared" si="1"/>
        <v>65</v>
      </c>
      <c r="B131" s="4"/>
      <c r="C131" s="80" t="s">
        <v>625</v>
      </c>
      <c r="D131" s="25"/>
      <c r="E131" s="47"/>
      <c r="F131" s="163">
        <v>0</v>
      </c>
      <c r="G131" s="231">
        <v>45000</v>
      </c>
      <c r="H131" s="28">
        <v>44999.99</v>
      </c>
      <c r="I131" s="199">
        <f t="shared" si="0"/>
        <v>0.9999997777777777</v>
      </c>
      <c r="J131" s="129">
        <f t="shared" si="3"/>
        <v>0.0014162144440645846</v>
      </c>
    </row>
    <row r="132" spans="1:10" ht="13.5" customHeight="1">
      <c r="A132" s="178">
        <f t="shared" si="1"/>
        <v>66</v>
      </c>
      <c r="B132" s="4"/>
      <c r="C132" s="80" t="s">
        <v>620</v>
      </c>
      <c r="D132" s="25"/>
      <c r="E132" s="47"/>
      <c r="F132" s="163">
        <v>30000</v>
      </c>
      <c r="G132" s="231">
        <v>0</v>
      </c>
      <c r="H132" s="28">
        <v>0</v>
      </c>
      <c r="I132" s="199"/>
      <c r="J132" s="129">
        <f t="shared" si="3"/>
        <v>0</v>
      </c>
    </row>
    <row r="133" spans="1:10" ht="13.5" customHeight="1">
      <c r="A133" s="178">
        <f t="shared" si="1"/>
        <v>67</v>
      </c>
      <c r="B133" s="4">
        <v>6060</v>
      </c>
      <c r="C133" s="80" t="s">
        <v>489</v>
      </c>
      <c r="D133" s="25"/>
      <c r="E133" s="47"/>
      <c r="F133" s="163"/>
      <c r="G133" s="231"/>
      <c r="H133" s="28"/>
      <c r="I133" s="199"/>
      <c r="J133" s="129"/>
    </row>
    <row r="134" spans="1:10" ht="13.5" customHeight="1">
      <c r="A134" s="178">
        <f t="shared" si="1"/>
        <v>68</v>
      </c>
      <c r="B134" s="4"/>
      <c r="C134" s="80" t="s">
        <v>490</v>
      </c>
      <c r="D134" s="25"/>
      <c r="E134" s="47"/>
      <c r="F134" s="163"/>
      <c r="G134" s="231"/>
      <c r="H134" s="28"/>
      <c r="I134" s="199"/>
      <c r="J134" s="129"/>
    </row>
    <row r="135" spans="1:10" ht="13.5" customHeight="1">
      <c r="A135" s="178">
        <f t="shared" si="1"/>
        <v>69</v>
      </c>
      <c r="B135" s="4"/>
      <c r="C135" s="80" t="s">
        <v>491</v>
      </c>
      <c r="D135" s="25"/>
      <c r="E135" s="47"/>
      <c r="F135" s="163">
        <v>20000</v>
      </c>
      <c r="G135" s="28">
        <v>20000</v>
      </c>
      <c r="H135" s="231">
        <v>16348</v>
      </c>
      <c r="I135" s="228">
        <f t="shared" si="0"/>
        <v>0.8174</v>
      </c>
      <c r="J135" s="129">
        <f>H135/H$54</f>
        <v>0.0005144950861448598</v>
      </c>
    </row>
    <row r="136" spans="1:10" ht="12.75">
      <c r="A136" s="178">
        <f t="shared" si="1"/>
        <v>70</v>
      </c>
      <c r="B136" s="63">
        <v>60095</v>
      </c>
      <c r="C136" s="69" t="s">
        <v>25</v>
      </c>
      <c r="D136" s="25"/>
      <c r="E136" s="47"/>
      <c r="F136" s="206">
        <f>F138+F139+F147+F153</f>
        <v>170000</v>
      </c>
      <c r="G136" s="206">
        <f>G138+G139+G147+G153</f>
        <v>346000</v>
      </c>
      <c r="H136" s="206">
        <f>H138+H139+H147+H153</f>
        <v>242138.49999999997</v>
      </c>
      <c r="I136" s="228">
        <f t="shared" si="0"/>
        <v>0.69982225433526</v>
      </c>
      <c r="J136" s="129">
        <f>H136/H$54</f>
        <v>0.0076204470526356205</v>
      </c>
    </row>
    <row r="137" spans="1:10" s="209" customFormat="1" ht="12.75">
      <c r="A137" s="178">
        <f t="shared" si="1"/>
        <v>71</v>
      </c>
      <c r="B137" s="153">
        <v>4270</v>
      </c>
      <c r="C137" s="41" t="s">
        <v>152</v>
      </c>
      <c r="D137" s="175"/>
      <c r="E137" s="181"/>
      <c r="F137" s="236"/>
      <c r="G137" s="175"/>
      <c r="H137" s="175"/>
      <c r="I137" s="228"/>
      <c r="J137" s="237"/>
    </row>
    <row r="138" spans="1:10" ht="12.75">
      <c r="A138" s="178">
        <f t="shared" si="1"/>
        <v>72</v>
      </c>
      <c r="B138" s="63"/>
      <c r="C138" s="41" t="s">
        <v>517</v>
      </c>
      <c r="D138" s="25"/>
      <c r="E138" s="47"/>
      <c r="F138" s="163">
        <v>0</v>
      </c>
      <c r="G138" s="28">
        <v>11000</v>
      </c>
      <c r="H138" s="28">
        <v>3937.75</v>
      </c>
      <c r="I138" s="228">
        <f t="shared" si="0"/>
        <v>0.3579772727272727</v>
      </c>
      <c r="J138" s="129">
        <f>H138/H$54</f>
        <v>0.00012392665925293136</v>
      </c>
    </row>
    <row r="139" spans="1:10" ht="12.75">
      <c r="A139" s="178">
        <f t="shared" si="1"/>
        <v>73</v>
      </c>
      <c r="B139" s="15">
        <v>4300</v>
      </c>
      <c r="C139" s="123" t="s">
        <v>273</v>
      </c>
      <c r="D139" s="25"/>
      <c r="E139" s="47"/>
      <c r="F139" s="154">
        <f>SUM(F142:F146)</f>
        <v>170000</v>
      </c>
      <c r="G139" s="154">
        <f>SUM(G142:G146)</f>
        <v>123000</v>
      </c>
      <c r="H139" s="154">
        <f>SUM(H142:H146)</f>
        <v>42615.86</v>
      </c>
      <c r="I139" s="199">
        <f t="shared" si="0"/>
        <v>0.346470406504065</v>
      </c>
      <c r="J139" s="129">
        <f>H139/H$54</f>
        <v>0.001341182442001302</v>
      </c>
    </row>
    <row r="140" spans="1:10" ht="12.75">
      <c r="A140" s="178">
        <f t="shared" si="1"/>
        <v>74</v>
      </c>
      <c r="B140" s="15"/>
      <c r="C140" s="123" t="s">
        <v>15</v>
      </c>
      <c r="D140" s="25"/>
      <c r="E140" s="47"/>
      <c r="F140" s="154"/>
      <c r="G140" s="154"/>
      <c r="H140" s="154"/>
      <c r="I140" s="199"/>
      <c r="J140" s="129"/>
    </row>
    <row r="141" spans="1:10" ht="12.75">
      <c r="A141" s="178">
        <f t="shared" si="1"/>
        <v>75</v>
      </c>
      <c r="B141" s="15"/>
      <c r="C141" s="123" t="s">
        <v>441</v>
      </c>
      <c r="D141" s="25"/>
      <c r="E141" s="47"/>
      <c r="F141" s="154"/>
      <c r="G141" s="154"/>
      <c r="H141" s="154"/>
      <c r="I141" s="199"/>
      <c r="J141" s="129"/>
    </row>
    <row r="142" spans="1:10" ht="12.75">
      <c r="A142" s="178">
        <f t="shared" si="1"/>
        <v>76</v>
      </c>
      <c r="B142" s="15"/>
      <c r="C142" s="123" t="s">
        <v>442</v>
      </c>
      <c r="D142" s="25"/>
      <c r="E142" s="47"/>
      <c r="F142" s="154">
        <v>50000</v>
      </c>
      <c r="G142" s="154">
        <v>0</v>
      </c>
      <c r="H142" s="154">
        <v>0</v>
      </c>
      <c r="I142" s="199"/>
      <c r="J142" s="129">
        <f>H142/H$54</f>
        <v>0</v>
      </c>
    </row>
    <row r="143" spans="1:10" ht="12.75">
      <c r="A143" s="178">
        <f t="shared" si="1"/>
        <v>77</v>
      </c>
      <c r="B143" s="15"/>
      <c r="C143" s="123" t="s">
        <v>518</v>
      </c>
      <c r="D143" s="25"/>
      <c r="E143" s="47"/>
      <c r="F143" s="154">
        <v>0</v>
      </c>
      <c r="G143" s="154">
        <v>3000</v>
      </c>
      <c r="H143" s="154">
        <v>2965.06</v>
      </c>
      <c r="I143" s="199">
        <f aca="true" t="shared" si="4" ref="I143:I208">H143/G143</f>
        <v>0.9883533333333333</v>
      </c>
      <c r="J143" s="129">
        <f>H143/H$54</f>
        <v>9.331470517033754E-05</v>
      </c>
    </row>
    <row r="144" spans="1:10" ht="12.75">
      <c r="A144" s="178">
        <f t="shared" si="1"/>
        <v>78</v>
      </c>
      <c r="B144" s="15"/>
      <c r="C144" s="123" t="s">
        <v>443</v>
      </c>
      <c r="D144" s="25"/>
      <c r="E144" s="47"/>
      <c r="F144" s="154"/>
      <c r="G144" s="154"/>
      <c r="H144" s="154"/>
      <c r="I144" s="199"/>
      <c r="J144" s="129"/>
    </row>
    <row r="145" spans="1:10" ht="12.75">
      <c r="A145" s="178">
        <f t="shared" si="1"/>
        <v>79</v>
      </c>
      <c r="B145" s="15"/>
      <c r="C145" s="123" t="s">
        <v>444</v>
      </c>
      <c r="D145" s="25"/>
      <c r="E145" s="47"/>
      <c r="F145" s="154"/>
      <c r="G145" s="154"/>
      <c r="H145" s="154"/>
      <c r="I145" s="199"/>
      <c r="J145" s="129"/>
    </row>
    <row r="146" spans="1:10" ht="12.75">
      <c r="A146" s="178">
        <f t="shared" si="1"/>
        <v>80</v>
      </c>
      <c r="B146" s="15"/>
      <c r="C146" s="123" t="s">
        <v>274</v>
      </c>
      <c r="D146" s="25"/>
      <c r="E146" s="47"/>
      <c r="F146" s="154">
        <v>120000</v>
      </c>
      <c r="G146" s="154">
        <v>120000</v>
      </c>
      <c r="H146" s="154">
        <v>39650.8</v>
      </c>
      <c r="I146" s="199">
        <f t="shared" si="4"/>
        <v>0.33042333333333335</v>
      </c>
      <c r="J146" s="129">
        <f aca="true" t="shared" si="5" ref="J146:J178">H146/H$54</f>
        <v>0.0012478677368309647</v>
      </c>
    </row>
    <row r="147" spans="1:10" ht="12.75">
      <c r="A147" s="178">
        <f t="shared" si="1"/>
        <v>81</v>
      </c>
      <c r="B147" s="15">
        <v>6050</v>
      </c>
      <c r="C147" s="80" t="s">
        <v>150</v>
      </c>
      <c r="D147" s="25"/>
      <c r="E147" s="47"/>
      <c r="F147" s="154">
        <f>SUM(F149:F150)</f>
        <v>0</v>
      </c>
      <c r="G147" s="154">
        <f>SUM(G149:G150)</f>
        <v>176000</v>
      </c>
      <c r="H147" s="154">
        <f>SUM(H149:H150)</f>
        <v>167286.99</v>
      </c>
      <c r="I147" s="199">
        <f>H147/G147</f>
        <v>0.9504942613636364</v>
      </c>
      <c r="J147" s="129">
        <f>H147/H$54</f>
        <v>0.005264762315326909</v>
      </c>
    </row>
    <row r="148" spans="1:10" ht="12.75">
      <c r="A148" s="178">
        <f t="shared" si="1"/>
        <v>82</v>
      </c>
      <c r="B148" s="15"/>
      <c r="C148" s="123" t="s">
        <v>15</v>
      </c>
      <c r="D148" s="25"/>
      <c r="E148" s="47"/>
      <c r="F148" s="154"/>
      <c r="G148" s="154"/>
      <c r="H148" s="154"/>
      <c r="I148" s="199"/>
      <c r="J148" s="129"/>
    </row>
    <row r="149" spans="1:10" ht="12.75">
      <c r="A149" s="178">
        <f t="shared" si="1"/>
        <v>83</v>
      </c>
      <c r="B149" s="15"/>
      <c r="C149" s="123" t="s">
        <v>626</v>
      </c>
      <c r="D149" s="25"/>
      <c r="E149" s="47"/>
      <c r="F149" s="154">
        <v>0</v>
      </c>
      <c r="G149" s="154">
        <v>100000</v>
      </c>
      <c r="H149" s="154">
        <v>92720</v>
      </c>
      <c r="I149" s="199">
        <f>H149/G149</f>
        <v>0.9272</v>
      </c>
      <c r="J149" s="129">
        <f>H149/H$54</f>
        <v>0.0029180318318663694</v>
      </c>
    </row>
    <row r="150" spans="1:10" ht="12.75">
      <c r="A150" s="178">
        <f t="shared" si="1"/>
        <v>84</v>
      </c>
      <c r="B150" s="15"/>
      <c r="C150" s="123" t="s">
        <v>627</v>
      </c>
      <c r="D150" s="25"/>
      <c r="E150" s="47"/>
      <c r="F150" s="154">
        <v>0</v>
      </c>
      <c r="G150" s="154">
        <v>76000</v>
      </c>
      <c r="H150" s="154">
        <v>74566.99</v>
      </c>
      <c r="I150" s="199">
        <f>H150/G150</f>
        <v>0.9811446052631579</v>
      </c>
      <c r="J150" s="129">
        <f>H150/H$54</f>
        <v>0.00234673048346054</v>
      </c>
    </row>
    <row r="151" spans="1:10" ht="12.75">
      <c r="A151" s="178">
        <f t="shared" si="1"/>
        <v>85</v>
      </c>
      <c r="B151" s="15"/>
      <c r="C151" s="123"/>
      <c r="D151" s="25"/>
      <c r="E151" s="47"/>
      <c r="F151" s="154"/>
      <c r="G151" s="154"/>
      <c r="H151" s="154"/>
      <c r="I151" s="199"/>
      <c r="J151" s="129"/>
    </row>
    <row r="152" spans="1:10" ht="12.75">
      <c r="A152" s="178">
        <f t="shared" si="1"/>
        <v>86</v>
      </c>
      <c r="B152" s="15">
        <v>6060</v>
      </c>
      <c r="C152" s="80" t="s">
        <v>489</v>
      </c>
      <c r="D152" s="25"/>
      <c r="E152" s="47"/>
      <c r="F152" s="154"/>
      <c r="G152" s="154"/>
      <c r="H152" s="154"/>
      <c r="I152" s="199"/>
      <c r="J152" s="129"/>
    </row>
    <row r="153" spans="1:10" ht="12.75">
      <c r="A153" s="178">
        <f t="shared" si="1"/>
        <v>87</v>
      </c>
      <c r="B153" s="15"/>
      <c r="C153" s="123" t="s">
        <v>519</v>
      </c>
      <c r="D153" s="25"/>
      <c r="E153" s="47"/>
      <c r="F153" s="154">
        <v>0</v>
      </c>
      <c r="G153" s="154">
        <v>36000</v>
      </c>
      <c r="H153" s="154">
        <v>28297.9</v>
      </c>
      <c r="I153" s="199">
        <f t="shared" si="4"/>
        <v>0.7860527777777778</v>
      </c>
      <c r="J153" s="129">
        <f t="shared" si="5"/>
        <v>0.0008905756360544795</v>
      </c>
    </row>
    <row r="154" spans="1:10" ht="12.75">
      <c r="A154" s="178">
        <f t="shared" si="1"/>
        <v>88</v>
      </c>
      <c r="B154" s="15"/>
      <c r="C154" s="123"/>
      <c r="D154" s="25"/>
      <c r="E154" s="47"/>
      <c r="F154" s="154"/>
      <c r="G154" s="154"/>
      <c r="H154" s="154"/>
      <c r="I154" s="199"/>
      <c r="J154" s="129"/>
    </row>
    <row r="155" spans="1:10" s="71" customFormat="1" ht="12.75">
      <c r="A155" s="178">
        <f t="shared" si="1"/>
        <v>89</v>
      </c>
      <c r="B155" s="57">
        <v>630</v>
      </c>
      <c r="C155" s="79" t="s">
        <v>144</v>
      </c>
      <c r="D155" s="59"/>
      <c r="E155" s="60" t="e">
        <f>E156</f>
        <v>#REF!</v>
      </c>
      <c r="F155" s="59">
        <f>F156</f>
        <v>260700</v>
      </c>
      <c r="G155" s="59">
        <f>G156</f>
        <v>284683</v>
      </c>
      <c r="H155" s="59">
        <f>H156</f>
        <v>283203.61</v>
      </c>
      <c r="I155" s="199">
        <f t="shared" si="4"/>
        <v>0.9948033777921407</v>
      </c>
      <c r="J155" s="129">
        <f t="shared" si="5"/>
        <v>0.008912825160477447</v>
      </c>
    </row>
    <row r="156" spans="1:10" s="74" customFormat="1" ht="12.75">
      <c r="A156" s="178">
        <f t="shared" si="1"/>
        <v>90</v>
      </c>
      <c r="B156" s="63">
        <v>63095</v>
      </c>
      <c r="C156" s="69" t="s">
        <v>25</v>
      </c>
      <c r="D156" s="64"/>
      <c r="E156" s="65" t="e">
        <f>#REF!+E158+#REF!</f>
        <v>#REF!</v>
      </c>
      <c r="F156" s="64">
        <f>F157+F158+F162</f>
        <v>260700</v>
      </c>
      <c r="G156" s="64">
        <f>G157+G158+G162</f>
        <v>284683</v>
      </c>
      <c r="H156" s="64">
        <f>H157+H158+H162</f>
        <v>283203.61</v>
      </c>
      <c r="I156" s="199">
        <f t="shared" si="4"/>
        <v>0.9948033777921407</v>
      </c>
      <c r="J156" s="129">
        <f t="shared" si="5"/>
        <v>0.008912825160477447</v>
      </c>
    </row>
    <row r="157" spans="1:10" s="74" customFormat="1" ht="12.75">
      <c r="A157" s="178">
        <f t="shared" si="1"/>
        <v>91</v>
      </c>
      <c r="B157" s="153">
        <v>4210</v>
      </c>
      <c r="C157" s="41" t="s">
        <v>340</v>
      </c>
      <c r="D157" s="64"/>
      <c r="E157" s="65"/>
      <c r="F157" s="28">
        <v>34000</v>
      </c>
      <c r="G157" s="154">
        <v>0</v>
      </c>
      <c r="H157" s="154">
        <v>0</v>
      </c>
      <c r="I157" s="199"/>
      <c r="J157" s="129">
        <f t="shared" si="5"/>
        <v>0</v>
      </c>
    </row>
    <row r="158" spans="1:10" ht="12.75">
      <c r="A158" s="178">
        <f t="shared" si="1"/>
        <v>92</v>
      </c>
      <c r="B158" s="15">
        <v>4300</v>
      </c>
      <c r="C158" s="123" t="s">
        <v>151</v>
      </c>
      <c r="D158" s="25"/>
      <c r="E158" s="52">
        <f>E160</f>
        <v>70000</v>
      </c>
      <c r="F158" s="165">
        <f>SUM(F160:F161)</f>
        <v>224000</v>
      </c>
      <c r="G158" s="165">
        <f>SUM(G160:G161)</f>
        <v>284683</v>
      </c>
      <c r="H158" s="165">
        <f>SUM(H160:H161)</f>
        <v>283203.61</v>
      </c>
      <c r="I158" s="199">
        <f t="shared" si="4"/>
        <v>0.9948033777921407</v>
      </c>
      <c r="J158" s="129">
        <f t="shared" si="5"/>
        <v>0.008912825160477447</v>
      </c>
    </row>
    <row r="159" spans="1:10" ht="12.75">
      <c r="A159" s="178">
        <f>A158+1</f>
        <v>93</v>
      </c>
      <c r="B159" s="15"/>
      <c r="C159" s="123" t="s">
        <v>15</v>
      </c>
      <c r="D159" s="25"/>
      <c r="E159" s="47"/>
      <c r="F159" s="154"/>
      <c r="G159" s="154"/>
      <c r="H159" s="154"/>
      <c r="I159" s="199"/>
      <c r="J159" s="129"/>
    </row>
    <row r="160" spans="1:10" ht="13.5" customHeight="1">
      <c r="A160" s="178">
        <f>A159+1</f>
        <v>94</v>
      </c>
      <c r="B160" s="15"/>
      <c r="C160" s="123" t="s">
        <v>64</v>
      </c>
      <c r="D160" s="25"/>
      <c r="E160" s="47">
        <v>70000</v>
      </c>
      <c r="F160" s="154">
        <v>218000</v>
      </c>
      <c r="G160" s="154">
        <v>284683</v>
      </c>
      <c r="H160" s="154">
        <v>283203.61</v>
      </c>
      <c r="I160" s="199">
        <f t="shared" si="4"/>
        <v>0.9948033777921407</v>
      </c>
      <c r="J160" s="129">
        <f t="shared" si="5"/>
        <v>0.008912825160477447</v>
      </c>
    </row>
    <row r="161" spans="1:10" ht="13.5" customHeight="1">
      <c r="A161" s="178">
        <f>A160+1</f>
        <v>95</v>
      </c>
      <c r="B161" s="15"/>
      <c r="C161" s="123" t="s">
        <v>341</v>
      </c>
      <c r="D161" s="25"/>
      <c r="E161" s="47"/>
      <c r="F161" s="154">
        <v>6000</v>
      </c>
      <c r="G161" s="154">
        <v>0</v>
      </c>
      <c r="H161" s="154">
        <v>0</v>
      </c>
      <c r="I161" s="199"/>
      <c r="J161" s="129">
        <f t="shared" si="5"/>
        <v>0</v>
      </c>
    </row>
    <row r="162" spans="1:10" ht="13.5" customHeight="1">
      <c r="A162" s="178">
        <f>A161+1</f>
        <v>96</v>
      </c>
      <c r="B162" s="15">
        <v>4430</v>
      </c>
      <c r="C162" s="123" t="s">
        <v>342</v>
      </c>
      <c r="D162" s="25"/>
      <c r="E162" s="47"/>
      <c r="F162" s="154">
        <v>2700</v>
      </c>
      <c r="G162" s="154">
        <v>0</v>
      </c>
      <c r="H162" s="154">
        <v>0</v>
      </c>
      <c r="I162" s="199"/>
      <c r="J162" s="129">
        <f t="shared" si="5"/>
        <v>0</v>
      </c>
    </row>
    <row r="163" spans="1:10" s="1" customFormat="1" ht="12.75">
      <c r="A163" s="178">
        <f aca="true" t="shared" si="6" ref="A163:A191">A162+1</f>
        <v>97</v>
      </c>
      <c r="B163" s="57">
        <v>700</v>
      </c>
      <c r="C163" s="79" t="s">
        <v>115</v>
      </c>
      <c r="D163" s="25"/>
      <c r="E163" s="43" t="e">
        <f>#REF!+E164+#REF!+E192</f>
        <v>#REF!</v>
      </c>
      <c r="F163" s="25">
        <f>F164+F192</f>
        <v>6214896</v>
      </c>
      <c r="G163" s="25">
        <f>G164+G192</f>
        <v>8151830</v>
      </c>
      <c r="H163" s="25">
        <f>H164+H192</f>
        <v>8031395.14</v>
      </c>
      <c r="I163" s="199">
        <f t="shared" si="4"/>
        <v>0.9852260339089505</v>
      </c>
      <c r="J163" s="129">
        <f t="shared" si="5"/>
        <v>0.2527595629078608</v>
      </c>
    </row>
    <row r="164" spans="1:10" s="68" customFormat="1" ht="12.75">
      <c r="A164" s="178">
        <f t="shared" si="6"/>
        <v>98</v>
      </c>
      <c r="B164" s="63">
        <v>70005</v>
      </c>
      <c r="C164" s="69" t="s">
        <v>116</v>
      </c>
      <c r="D164" s="67"/>
      <c r="E164" s="65">
        <f>E166+E175+E185</f>
        <v>82000</v>
      </c>
      <c r="F164" s="64">
        <f>F165+F166+F175+F182+F183+F185</f>
        <v>518500</v>
      </c>
      <c r="G164" s="64">
        <f>G165+G166+G175+G182+G183+G185</f>
        <v>246200</v>
      </c>
      <c r="H164" s="64">
        <f>H165+H166+H175+H182+H183+H185</f>
        <v>201944.8</v>
      </c>
      <c r="I164" s="199">
        <f t="shared" si="4"/>
        <v>0.820246953696182</v>
      </c>
      <c r="J164" s="129">
        <f t="shared" si="5"/>
        <v>0.006355493471525965</v>
      </c>
    </row>
    <row r="165" spans="1:10" s="176" customFormat="1" ht="12.75">
      <c r="A165" s="178">
        <f t="shared" si="6"/>
        <v>99</v>
      </c>
      <c r="B165" s="153">
        <v>2650</v>
      </c>
      <c r="C165" s="178" t="s">
        <v>343</v>
      </c>
      <c r="D165" s="177"/>
      <c r="E165" s="152"/>
      <c r="F165" s="161">
        <v>8000</v>
      </c>
      <c r="G165" s="221">
        <v>0</v>
      </c>
      <c r="H165" s="221">
        <v>0</v>
      </c>
      <c r="I165" s="199"/>
      <c r="J165" s="129">
        <f t="shared" si="5"/>
        <v>0</v>
      </c>
    </row>
    <row r="166" spans="1:10" ht="12.75">
      <c r="A166" s="178">
        <f t="shared" si="6"/>
        <v>100</v>
      </c>
      <c r="B166" s="4">
        <v>4300</v>
      </c>
      <c r="C166" s="123" t="s">
        <v>151</v>
      </c>
      <c r="D166" s="25"/>
      <c r="E166" s="46">
        <f>SUM(E168:E172)</f>
        <v>52000</v>
      </c>
      <c r="F166" s="28">
        <f>SUM(F168:F174)</f>
        <v>55500</v>
      </c>
      <c r="G166" s="28">
        <f>SUM(G168:G174)</f>
        <v>106450</v>
      </c>
      <c r="H166" s="28">
        <f>SUM(H168:H174)</f>
        <v>85524.32</v>
      </c>
      <c r="I166" s="199">
        <f t="shared" si="4"/>
        <v>0.8034224518553312</v>
      </c>
      <c r="J166" s="129">
        <f t="shared" si="5"/>
        <v>0.002691573427078576</v>
      </c>
    </row>
    <row r="167" spans="1:10" ht="12.75">
      <c r="A167" s="178">
        <f t="shared" si="6"/>
        <v>101</v>
      </c>
      <c r="B167" s="4"/>
      <c r="C167" s="80" t="s">
        <v>15</v>
      </c>
      <c r="D167" s="25"/>
      <c r="E167" s="47"/>
      <c r="F167" s="154"/>
      <c r="G167" s="154"/>
      <c r="H167" s="154"/>
      <c r="I167" s="199"/>
      <c r="J167" s="129"/>
    </row>
    <row r="168" spans="1:10" ht="12.75">
      <c r="A168" s="178">
        <f t="shared" si="6"/>
        <v>102</v>
      </c>
      <c r="B168" s="4"/>
      <c r="C168" s="80" t="s">
        <v>38</v>
      </c>
      <c r="D168" s="25"/>
      <c r="E168" s="47">
        <v>10000</v>
      </c>
      <c r="F168" s="154">
        <v>5000</v>
      </c>
      <c r="G168" s="154">
        <v>7200</v>
      </c>
      <c r="H168" s="154">
        <v>6307.4</v>
      </c>
      <c r="I168" s="199">
        <f t="shared" si="4"/>
        <v>0.8760277777777777</v>
      </c>
      <c r="J168" s="129">
        <f t="shared" si="5"/>
        <v>0.000198502954878278</v>
      </c>
    </row>
    <row r="169" spans="1:10" ht="12.75">
      <c r="A169" s="178">
        <f t="shared" si="6"/>
        <v>103</v>
      </c>
      <c r="B169" s="4"/>
      <c r="C169" s="80" t="s">
        <v>39</v>
      </c>
      <c r="D169" s="25"/>
      <c r="E169" s="47">
        <v>20000</v>
      </c>
      <c r="F169" s="154">
        <v>25000</v>
      </c>
      <c r="G169" s="154">
        <v>28822</v>
      </c>
      <c r="H169" s="154">
        <v>21374.4</v>
      </c>
      <c r="I169" s="199">
        <f t="shared" si="4"/>
        <v>0.741600166539449</v>
      </c>
      <c r="J169" s="129">
        <f t="shared" si="5"/>
        <v>0.0006726831275565631</v>
      </c>
    </row>
    <row r="170" spans="1:10" ht="12.75">
      <c r="A170" s="178">
        <f t="shared" si="6"/>
        <v>104</v>
      </c>
      <c r="B170" s="4"/>
      <c r="C170" s="80" t="s">
        <v>222</v>
      </c>
      <c r="D170" s="25"/>
      <c r="E170" s="47">
        <v>15000</v>
      </c>
      <c r="F170" s="154">
        <v>15000</v>
      </c>
      <c r="G170" s="154">
        <v>62800</v>
      </c>
      <c r="H170" s="154">
        <v>51202.99</v>
      </c>
      <c r="I170" s="199">
        <f t="shared" si="4"/>
        <v>0.8153342356687898</v>
      </c>
      <c r="J170" s="129">
        <f t="shared" si="5"/>
        <v>0.0016114317807024955</v>
      </c>
    </row>
    <row r="171" spans="1:10" ht="12.75">
      <c r="A171" s="178">
        <f t="shared" si="6"/>
        <v>105</v>
      </c>
      <c r="B171" s="4"/>
      <c r="C171" s="80" t="s">
        <v>223</v>
      </c>
      <c r="D171" s="25"/>
      <c r="E171" s="47">
        <v>2000</v>
      </c>
      <c r="F171" s="154">
        <v>500</v>
      </c>
      <c r="G171" s="154">
        <v>482.14</v>
      </c>
      <c r="H171" s="154">
        <v>216.67</v>
      </c>
      <c r="I171" s="199">
        <f t="shared" si="4"/>
        <v>0.4493922926950678</v>
      </c>
      <c r="J171" s="129">
        <f t="shared" si="5"/>
        <v>6.818916706325347E-06</v>
      </c>
    </row>
    <row r="172" spans="1:10" ht="12.75">
      <c r="A172" s="178">
        <f t="shared" si="6"/>
        <v>106</v>
      </c>
      <c r="B172" s="4"/>
      <c r="C172" s="80" t="s">
        <v>19</v>
      </c>
      <c r="D172" s="25"/>
      <c r="E172" s="47">
        <v>5000</v>
      </c>
      <c r="F172" s="154">
        <v>0</v>
      </c>
      <c r="G172" s="154">
        <v>217.86</v>
      </c>
      <c r="H172" s="154">
        <v>200.86</v>
      </c>
      <c r="I172" s="199"/>
      <c r="J172" s="129">
        <f t="shared" si="5"/>
        <v>6.321353254407668E-06</v>
      </c>
    </row>
    <row r="173" spans="1:10" ht="12.75">
      <c r="A173" s="178">
        <f t="shared" si="6"/>
        <v>107</v>
      </c>
      <c r="B173" s="4"/>
      <c r="C173" s="80" t="s">
        <v>520</v>
      </c>
      <c r="D173" s="25"/>
      <c r="E173" s="47"/>
      <c r="F173" s="154">
        <v>0</v>
      </c>
      <c r="G173" s="154">
        <v>2928</v>
      </c>
      <c r="H173" s="154">
        <v>2928</v>
      </c>
      <c r="I173" s="199">
        <f t="shared" si="4"/>
        <v>1</v>
      </c>
      <c r="J173" s="129">
        <f t="shared" si="5"/>
        <v>9.214837363788535E-05</v>
      </c>
    </row>
    <row r="174" spans="1:10" ht="12.75">
      <c r="A174" s="178">
        <f t="shared" si="6"/>
        <v>108</v>
      </c>
      <c r="B174" s="4"/>
      <c r="C174" s="80" t="s">
        <v>250</v>
      </c>
      <c r="D174" s="25"/>
      <c r="E174" s="47"/>
      <c r="F174" s="154">
        <v>10000</v>
      </c>
      <c r="G174" s="154">
        <v>4000</v>
      </c>
      <c r="H174" s="154">
        <v>3294</v>
      </c>
      <c r="I174" s="199">
        <f t="shared" si="4"/>
        <v>0.8235</v>
      </c>
      <c r="J174" s="129">
        <f t="shared" si="5"/>
        <v>0.00010366692034262101</v>
      </c>
    </row>
    <row r="175" spans="1:10" ht="12.75">
      <c r="A175" s="178">
        <f t="shared" si="6"/>
        <v>109</v>
      </c>
      <c r="B175" s="4">
        <v>4430</v>
      </c>
      <c r="C175" s="80" t="s">
        <v>40</v>
      </c>
      <c r="D175" s="25"/>
      <c r="E175" s="47">
        <v>15000</v>
      </c>
      <c r="F175" s="154">
        <f>SUM(F177:F178)</f>
        <v>15000</v>
      </c>
      <c r="G175" s="154">
        <f>SUM(G177:G178)</f>
        <v>11050</v>
      </c>
      <c r="H175" s="154">
        <f>SUM(H177:H178)</f>
        <v>10602.98</v>
      </c>
      <c r="I175" s="199">
        <f t="shared" si="4"/>
        <v>0.959545701357466</v>
      </c>
      <c r="J175" s="129">
        <f t="shared" si="5"/>
        <v>0.00033369103917862893</v>
      </c>
    </row>
    <row r="176" spans="1:10" ht="12.75">
      <c r="A176" s="178">
        <f t="shared" si="6"/>
        <v>110</v>
      </c>
      <c r="B176" s="4"/>
      <c r="C176" s="80" t="s">
        <v>15</v>
      </c>
      <c r="D176" s="25"/>
      <c r="E176" s="47"/>
      <c r="F176" s="154"/>
      <c r="G176" s="154"/>
      <c r="H176" s="154"/>
      <c r="I176" s="199"/>
      <c r="J176" s="129"/>
    </row>
    <row r="177" spans="1:10" ht="12.75">
      <c r="A177" s="178">
        <f t="shared" si="6"/>
        <v>111</v>
      </c>
      <c r="B177" s="4"/>
      <c r="C177" s="80" t="s">
        <v>521</v>
      </c>
      <c r="D177" s="25"/>
      <c r="E177" s="47"/>
      <c r="F177" s="154">
        <v>15000</v>
      </c>
      <c r="G177" s="154">
        <v>7719</v>
      </c>
      <c r="H177" s="154">
        <v>7272.42</v>
      </c>
      <c r="I177" s="199">
        <f t="shared" si="4"/>
        <v>0.9421453556160124</v>
      </c>
      <c r="J177" s="129">
        <f t="shared" si="5"/>
        <v>0.00022887352302309772</v>
      </c>
    </row>
    <row r="178" spans="1:10" ht="12.75">
      <c r="A178" s="178">
        <f t="shared" si="6"/>
        <v>112</v>
      </c>
      <c r="B178" s="4"/>
      <c r="C178" s="80" t="s">
        <v>522</v>
      </c>
      <c r="D178" s="25"/>
      <c r="E178" s="47"/>
      <c r="F178" s="154">
        <v>0</v>
      </c>
      <c r="G178" s="154">
        <v>3331</v>
      </c>
      <c r="H178" s="154">
        <v>3330.56</v>
      </c>
      <c r="I178" s="199">
        <f t="shared" si="4"/>
        <v>0.9998679075352747</v>
      </c>
      <c r="J178" s="129">
        <f t="shared" si="5"/>
        <v>0.00010481751615553122</v>
      </c>
    </row>
    <row r="179" spans="1:10" ht="12.75">
      <c r="A179" s="178"/>
      <c r="B179" s="4"/>
      <c r="C179" s="80"/>
      <c r="D179" s="25"/>
      <c r="E179" s="47"/>
      <c r="F179" s="154"/>
      <c r="G179" s="154"/>
      <c r="H179" s="154"/>
      <c r="I179" s="199"/>
      <c r="J179" s="129"/>
    </row>
    <row r="180" spans="1:10" ht="12.75">
      <c r="A180" s="178">
        <f>A178+1</f>
        <v>113</v>
      </c>
      <c r="B180" s="4">
        <v>4530</v>
      </c>
      <c r="C180" s="80" t="s">
        <v>351</v>
      </c>
      <c r="D180" s="25"/>
      <c r="E180" s="47"/>
      <c r="F180" s="154"/>
      <c r="G180" s="154"/>
      <c r="H180" s="154"/>
      <c r="I180" s="199"/>
      <c r="J180" s="129"/>
    </row>
    <row r="181" spans="1:10" ht="12.75">
      <c r="A181" s="178">
        <f t="shared" si="6"/>
        <v>114</v>
      </c>
      <c r="B181" s="4"/>
      <c r="C181" s="80" t="s">
        <v>523</v>
      </c>
      <c r="D181" s="25"/>
      <c r="E181" s="47"/>
      <c r="F181" s="154"/>
      <c r="G181" s="154"/>
      <c r="H181" s="154"/>
      <c r="I181" s="199"/>
      <c r="J181" s="129"/>
    </row>
    <row r="182" spans="1:10" ht="12.75">
      <c r="A182" s="178">
        <f t="shared" si="6"/>
        <v>115</v>
      </c>
      <c r="B182" s="4"/>
      <c r="C182" s="80" t="s">
        <v>524</v>
      </c>
      <c r="D182" s="25"/>
      <c r="E182" s="47"/>
      <c r="F182" s="154">
        <v>0</v>
      </c>
      <c r="G182" s="154">
        <v>40700</v>
      </c>
      <c r="H182" s="154">
        <v>40700</v>
      </c>
      <c r="I182" s="199">
        <f t="shared" si="4"/>
        <v>1</v>
      </c>
      <c r="J182" s="129">
        <f aca="true" t="shared" si="7" ref="J182:J208">H182/H$54</f>
        <v>0.0012808875707178734</v>
      </c>
    </row>
    <row r="183" spans="1:10" ht="12.75">
      <c r="A183" s="178">
        <f t="shared" si="6"/>
        <v>116</v>
      </c>
      <c r="B183" s="4">
        <v>4580</v>
      </c>
      <c r="C183" s="80" t="s">
        <v>204</v>
      </c>
      <c r="D183" s="25"/>
      <c r="E183" s="47"/>
      <c r="F183" s="154">
        <v>0</v>
      </c>
      <c r="G183" s="154">
        <v>0</v>
      </c>
      <c r="H183" s="154">
        <v>0</v>
      </c>
      <c r="I183" s="199"/>
      <c r="J183" s="129">
        <f t="shared" si="7"/>
        <v>0</v>
      </c>
    </row>
    <row r="184" spans="1:10" ht="12.75">
      <c r="A184" s="178">
        <f t="shared" si="6"/>
        <v>117</v>
      </c>
      <c r="B184" s="4">
        <v>4590</v>
      </c>
      <c r="C184" s="80" t="s">
        <v>154</v>
      </c>
      <c r="D184" s="25"/>
      <c r="E184" s="47"/>
      <c r="F184" s="154"/>
      <c r="G184" s="154"/>
      <c r="H184" s="154"/>
      <c r="I184" s="199"/>
      <c r="J184" s="129"/>
    </row>
    <row r="185" spans="1:10" ht="12.75">
      <c r="A185" s="178">
        <f t="shared" si="6"/>
        <v>118</v>
      </c>
      <c r="B185" s="4"/>
      <c r="C185" s="80" t="s">
        <v>384</v>
      </c>
      <c r="D185" s="25"/>
      <c r="E185" s="47">
        <v>15000</v>
      </c>
      <c r="F185" s="154">
        <f>SUM(F187:F191)</f>
        <v>440000</v>
      </c>
      <c r="G185" s="154">
        <f>SUM(G187:G191)</f>
        <v>88000</v>
      </c>
      <c r="H185" s="154">
        <f>SUM(H187:H191)</f>
        <v>65117.5</v>
      </c>
      <c r="I185" s="199">
        <f t="shared" si="4"/>
        <v>0.7399715909090909</v>
      </c>
      <c r="J185" s="129">
        <f t="shared" si="7"/>
        <v>0.0020493414345508876</v>
      </c>
    </row>
    <row r="186" spans="1:10" ht="12.75">
      <c r="A186" s="178">
        <f t="shared" si="6"/>
        <v>119</v>
      </c>
      <c r="B186" s="4"/>
      <c r="C186" s="80" t="s">
        <v>15</v>
      </c>
      <c r="D186" s="25"/>
      <c r="E186" s="47"/>
      <c r="F186" s="154"/>
      <c r="G186" s="154"/>
      <c r="H186" s="154"/>
      <c r="I186" s="199"/>
      <c r="J186" s="129"/>
    </row>
    <row r="187" spans="1:10" ht="12.75">
      <c r="A187" s="178">
        <f t="shared" si="6"/>
        <v>120</v>
      </c>
      <c r="B187" s="4"/>
      <c r="C187" s="80" t="s">
        <v>385</v>
      </c>
      <c r="D187" s="25"/>
      <c r="E187" s="47"/>
      <c r="F187" s="154">
        <v>5000</v>
      </c>
      <c r="G187" s="154">
        <v>200</v>
      </c>
      <c r="H187" s="154">
        <v>117.5</v>
      </c>
      <c r="I187" s="199"/>
      <c r="J187" s="129">
        <f t="shared" si="7"/>
        <v>3.697894092367325E-06</v>
      </c>
    </row>
    <row r="188" spans="1:10" ht="12.75">
      <c r="A188" s="178">
        <f t="shared" si="6"/>
        <v>121</v>
      </c>
      <c r="B188" s="4"/>
      <c r="C188" s="108" t="s">
        <v>386</v>
      </c>
      <c r="D188" s="25"/>
      <c r="E188" s="47"/>
      <c r="F188" s="154">
        <v>85000</v>
      </c>
      <c r="G188" s="154">
        <v>84800</v>
      </c>
      <c r="H188" s="154">
        <v>62000</v>
      </c>
      <c r="I188" s="199">
        <f t="shared" si="4"/>
        <v>0.7311320754716981</v>
      </c>
      <c r="J188" s="129">
        <f t="shared" si="7"/>
        <v>0.0019512292232065885</v>
      </c>
    </row>
    <row r="189" spans="1:10" ht="12.75">
      <c r="A189" s="178">
        <f t="shared" si="6"/>
        <v>122</v>
      </c>
      <c r="B189" s="4"/>
      <c r="C189" s="80" t="s">
        <v>388</v>
      </c>
      <c r="D189" s="25"/>
      <c r="E189" s="47"/>
      <c r="F189" s="154"/>
      <c r="G189" s="154"/>
      <c r="H189" s="154"/>
      <c r="I189" s="199"/>
      <c r="J189" s="129"/>
    </row>
    <row r="190" spans="1:10" ht="12.75">
      <c r="A190" s="178">
        <f t="shared" si="6"/>
        <v>123</v>
      </c>
      <c r="B190" s="4"/>
      <c r="C190" s="80" t="s">
        <v>387</v>
      </c>
      <c r="D190" s="25"/>
      <c r="E190" s="47"/>
      <c r="F190" s="154">
        <v>347000</v>
      </c>
      <c r="G190" s="154">
        <v>0</v>
      </c>
      <c r="H190" s="154">
        <v>0</v>
      </c>
      <c r="I190" s="199"/>
      <c r="J190" s="129">
        <f t="shared" si="7"/>
        <v>0</v>
      </c>
    </row>
    <row r="191" spans="1:10" ht="12.75">
      <c r="A191" s="178">
        <f t="shared" si="6"/>
        <v>124</v>
      </c>
      <c r="B191" s="4"/>
      <c r="C191" s="80" t="s">
        <v>344</v>
      </c>
      <c r="D191" s="25"/>
      <c r="E191" s="47"/>
      <c r="F191" s="154">
        <v>3000</v>
      </c>
      <c r="G191" s="154">
        <v>3000</v>
      </c>
      <c r="H191" s="154">
        <v>3000</v>
      </c>
      <c r="I191" s="199">
        <f t="shared" si="4"/>
        <v>1</v>
      </c>
      <c r="J191" s="129">
        <f t="shared" si="7"/>
        <v>9.441431725193171E-05</v>
      </c>
    </row>
    <row r="192" spans="1:10" s="68" customFormat="1" ht="12.75">
      <c r="A192" s="178">
        <f>A191+1</f>
        <v>125</v>
      </c>
      <c r="B192" s="63">
        <v>70095</v>
      </c>
      <c r="C192" s="69" t="s">
        <v>25</v>
      </c>
      <c r="D192" s="67"/>
      <c r="E192" s="65" t="e">
        <f>E208+#REF!</f>
        <v>#REF!</v>
      </c>
      <c r="F192" s="64">
        <f>F193+F196+F204+F205+F208+F207</f>
        <v>5696396</v>
      </c>
      <c r="G192" s="64">
        <f>G193+G196+G204+G205+G208+G207</f>
        <v>7905630</v>
      </c>
      <c r="H192" s="64">
        <f>H193+H196+H204+H205+H208+H207</f>
        <v>7829450.34</v>
      </c>
      <c r="I192" s="199">
        <f t="shared" si="4"/>
        <v>0.9903638723289605</v>
      </c>
      <c r="J192" s="129">
        <f t="shared" si="7"/>
        <v>0.24640406943633483</v>
      </c>
    </row>
    <row r="193" spans="1:10" s="106" customFormat="1" ht="12.75">
      <c r="A193" s="178">
        <f aca="true" t="shared" si="8" ref="A193:A261">A192+1</f>
        <v>126</v>
      </c>
      <c r="B193" s="107">
        <v>4270</v>
      </c>
      <c r="C193" s="80" t="s">
        <v>380</v>
      </c>
      <c r="D193" s="105"/>
      <c r="E193" s="83"/>
      <c r="F193" s="85">
        <f>F195</f>
        <v>150000</v>
      </c>
      <c r="G193" s="85">
        <f>G195</f>
        <v>101500</v>
      </c>
      <c r="H193" s="85">
        <f>H195</f>
        <v>101303.85</v>
      </c>
      <c r="I193" s="199">
        <f t="shared" si="4"/>
        <v>0.9980674876847291</v>
      </c>
      <c r="J193" s="129">
        <f t="shared" si="7"/>
        <v>0.0031881779442473673</v>
      </c>
    </row>
    <row r="194" spans="1:10" s="106" customFormat="1" ht="12.75">
      <c r="A194" s="178">
        <f t="shared" si="8"/>
        <v>127</v>
      </c>
      <c r="B194" s="107"/>
      <c r="C194" s="80" t="s">
        <v>15</v>
      </c>
      <c r="D194" s="105"/>
      <c r="E194" s="83"/>
      <c r="F194" s="85"/>
      <c r="G194" s="160"/>
      <c r="H194" s="160"/>
      <c r="I194" s="199"/>
      <c r="J194" s="129"/>
    </row>
    <row r="195" spans="1:10" s="106" customFormat="1" ht="12.75">
      <c r="A195" s="178">
        <f t="shared" si="8"/>
        <v>128</v>
      </c>
      <c r="B195" s="107"/>
      <c r="C195" s="108" t="s">
        <v>381</v>
      </c>
      <c r="D195" s="105"/>
      <c r="E195" s="83"/>
      <c r="F195" s="85">
        <v>150000</v>
      </c>
      <c r="G195" s="160">
        <v>101500</v>
      </c>
      <c r="H195" s="160">
        <v>101303.85</v>
      </c>
      <c r="I195" s="199">
        <f t="shared" si="4"/>
        <v>0.9980674876847291</v>
      </c>
      <c r="J195" s="129">
        <f t="shared" si="7"/>
        <v>0.0031881779442473673</v>
      </c>
    </row>
    <row r="196" spans="1:10" s="106" customFormat="1" ht="12.75">
      <c r="A196" s="178">
        <f t="shared" si="8"/>
        <v>129</v>
      </c>
      <c r="B196" s="107">
        <v>4300</v>
      </c>
      <c r="C196" s="80" t="s">
        <v>275</v>
      </c>
      <c r="D196" s="105"/>
      <c r="E196" s="83"/>
      <c r="F196" s="85">
        <f>SUM(F198:F203)</f>
        <v>766000</v>
      </c>
      <c r="G196" s="85">
        <f>SUM(G198:G203)</f>
        <v>944650</v>
      </c>
      <c r="H196" s="85">
        <f>SUM(H198:H203)</f>
        <v>934605.51</v>
      </c>
      <c r="I196" s="199">
        <f t="shared" si="4"/>
        <v>0.9893669718943524</v>
      </c>
      <c r="J196" s="129">
        <f t="shared" si="7"/>
        <v>0.029413380375514477</v>
      </c>
    </row>
    <row r="197" spans="1:10" s="106" customFormat="1" ht="12.75">
      <c r="A197" s="178">
        <f t="shared" si="8"/>
        <v>130</v>
      </c>
      <c r="B197" s="107"/>
      <c r="C197" s="80" t="s">
        <v>15</v>
      </c>
      <c r="D197" s="105"/>
      <c r="E197" s="83"/>
      <c r="F197" s="85"/>
      <c r="G197" s="160"/>
      <c r="H197" s="160"/>
      <c r="I197" s="199"/>
      <c r="J197" s="129"/>
    </row>
    <row r="198" spans="1:10" s="106" customFormat="1" ht="12.75">
      <c r="A198" s="178">
        <f t="shared" si="8"/>
        <v>131</v>
      </c>
      <c r="B198" s="107"/>
      <c r="C198" s="80" t="s">
        <v>324</v>
      </c>
      <c r="D198" s="105"/>
      <c r="E198" s="83"/>
      <c r="F198" s="85">
        <v>0</v>
      </c>
      <c r="G198" s="160">
        <v>0</v>
      </c>
      <c r="H198" s="160">
        <v>0</v>
      </c>
      <c r="I198" s="199"/>
      <c r="J198" s="129">
        <f t="shared" si="7"/>
        <v>0</v>
      </c>
    </row>
    <row r="199" spans="1:10" s="106" customFormat="1" ht="12.75">
      <c r="A199" s="178">
        <f t="shared" si="8"/>
        <v>132</v>
      </c>
      <c r="B199" s="107"/>
      <c r="C199" s="80" t="s">
        <v>325</v>
      </c>
      <c r="D199" s="105"/>
      <c r="E199" s="83"/>
      <c r="F199" s="85">
        <v>766000</v>
      </c>
      <c r="G199" s="160">
        <v>744036</v>
      </c>
      <c r="H199" s="160">
        <v>744036</v>
      </c>
      <c r="I199" s="199">
        <f t="shared" si="4"/>
        <v>1</v>
      </c>
      <c r="J199" s="129">
        <f t="shared" si="7"/>
        <v>0.023415883650286087</v>
      </c>
    </row>
    <row r="200" spans="1:10" s="106" customFormat="1" ht="12.75">
      <c r="A200" s="178">
        <f t="shared" si="8"/>
        <v>133</v>
      </c>
      <c r="B200" s="107"/>
      <c r="C200" s="80" t="s">
        <v>525</v>
      </c>
      <c r="D200" s="105"/>
      <c r="E200" s="83"/>
      <c r="F200" s="85">
        <v>0</v>
      </c>
      <c r="G200" s="160">
        <v>51964</v>
      </c>
      <c r="H200" s="160">
        <v>47619.92</v>
      </c>
      <c r="I200" s="199">
        <f t="shared" si="4"/>
        <v>0.9164021245477638</v>
      </c>
      <c r="J200" s="129">
        <f t="shared" si="7"/>
        <v>0.0014986674114638692</v>
      </c>
    </row>
    <row r="201" spans="1:10" s="106" customFormat="1" ht="12.75">
      <c r="A201" s="178">
        <f t="shared" si="8"/>
        <v>134</v>
      </c>
      <c r="B201" s="107"/>
      <c r="C201" s="80" t="s">
        <v>526</v>
      </c>
      <c r="D201" s="105"/>
      <c r="E201" s="83"/>
      <c r="F201" s="85"/>
      <c r="G201" s="160"/>
      <c r="H201" s="160"/>
      <c r="I201" s="199"/>
      <c r="J201" s="129"/>
    </row>
    <row r="202" spans="1:10" s="106" customFormat="1" ht="12.75">
      <c r="A202" s="178">
        <f t="shared" si="8"/>
        <v>135</v>
      </c>
      <c r="B202" s="107"/>
      <c r="C202" s="80" t="s">
        <v>527</v>
      </c>
      <c r="D202" s="105"/>
      <c r="E202" s="83"/>
      <c r="F202" s="85">
        <v>0</v>
      </c>
      <c r="G202" s="160">
        <v>63650</v>
      </c>
      <c r="H202" s="160">
        <v>63649.59</v>
      </c>
      <c r="I202" s="199">
        <f t="shared" si="4"/>
        <v>0.9999935585231735</v>
      </c>
      <c r="J202" s="129">
        <f t="shared" si="7"/>
        <v>0.0020031441944051267</v>
      </c>
    </row>
    <row r="203" spans="1:10" s="106" customFormat="1" ht="12.75">
      <c r="A203" s="178">
        <f t="shared" si="8"/>
        <v>136</v>
      </c>
      <c r="B203" s="107"/>
      <c r="C203" s="80" t="s">
        <v>528</v>
      </c>
      <c r="D203" s="105"/>
      <c r="E203" s="83"/>
      <c r="F203" s="85">
        <v>0</v>
      </c>
      <c r="G203" s="160">
        <v>85000</v>
      </c>
      <c r="H203" s="160">
        <v>79300</v>
      </c>
      <c r="I203" s="199">
        <f t="shared" si="4"/>
        <v>0.9329411764705883</v>
      </c>
      <c r="J203" s="129">
        <f t="shared" si="7"/>
        <v>0.002495685119359395</v>
      </c>
    </row>
    <row r="204" spans="1:10" s="106" customFormat="1" ht="12.75">
      <c r="A204" s="178">
        <f t="shared" si="8"/>
        <v>137</v>
      </c>
      <c r="B204" s="107">
        <v>4430</v>
      </c>
      <c r="C204" s="80" t="s">
        <v>323</v>
      </c>
      <c r="D204" s="105"/>
      <c r="E204" s="83"/>
      <c r="F204" s="85">
        <f>6396+4000</f>
        <v>10396</v>
      </c>
      <c r="G204" s="160">
        <v>10396</v>
      </c>
      <c r="H204" s="160">
        <v>10368.36</v>
      </c>
      <c r="I204" s="199">
        <f t="shared" si="4"/>
        <v>0.9973412851096576</v>
      </c>
      <c r="J204" s="129">
        <f t="shared" si="7"/>
        <v>0.00032630721014074624</v>
      </c>
    </row>
    <row r="205" spans="1:10" s="106" customFormat="1" ht="12.75">
      <c r="A205" s="178">
        <f t="shared" si="8"/>
        <v>138</v>
      </c>
      <c r="B205" s="4">
        <v>4580</v>
      </c>
      <c r="C205" s="80" t="s">
        <v>204</v>
      </c>
      <c r="D205" s="105"/>
      <c r="E205" s="83"/>
      <c r="F205" s="85">
        <v>0</v>
      </c>
      <c r="G205" s="160">
        <v>0</v>
      </c>
      <c r="H205" s="160">
        <v>0</v>
      </c>
      <c r="I205" s="199"/>
      <c r="J205" s="129">
        <f t="shared" si="7"/>
        <v>0</v>
      </c>
    </row>
    <row r="206" spans="1:10" s="106" customFormat="1" ht="12.75">
      <c r="A206" s="178">
        <f t="shared" si="8"/>
        <v>139</v>
      </c>
      <c r="B206" s="4">
        <v>4590</v>
      </c>
      <c r="C206" s="80" t="s">
        <v>628</v>
      </c>
      <c r="D206" s="105"/>
      <c r="E206" s="83"/>
      <c r="F206" s="85"/>
      <c r="G206" s="160"/>
      <c r="H206" s="160"/>
      <c r="I206" s="199"/>
      <c r="J206" s="129"/>
    </row>
    <row r="207" spans="1:10" s="106" customFormat="1" ht="12.75">
      <c r="A207" s="178">
        <f t="shared" si="8"/>
        <v>140</v>
      </c>
      <c r="B207" s="4"/>
      <c r="C207" s="80" t="s">
        <v>629</v>
      </c>
      <c r="D207" s="105"/>
      <c r="E207" s="83"/>
      <c r="F207" s="85">
        <v>0</v>
      </c>
      <c r="G207" s="160">
        <v>903</v>
      </c>
      <c r="H207" s="160">
        <v>902.8</v>
      </c>
      <c r="I207" s="199"/>
      <c r="J207" s="129"/>
    </row>
    <row r="208" spans="1:10" ht="12.75">
      <c r="A208" s="178">
        <f t="shared" si="8"/>
        <v>141</v>
      </c>
      <c r="B208" s="15">
        <v>6050</v>
      </c>
      <c r="C208" s="80" t="s">
        <v>150</v>
      </c>
      <c r="D208" s="23"/>
      <c r="E208" s="48" t="e">
        <f>SUM(#REF!)</f>
        <v>#REF!</v>
      </c>
      <c r="F208" s="23">
        <f>SUM(F211:F214)</f>
        <v>4770000</v>
      </c>
      <c r="G208" s="23">
        <f>SUM(G211:G214)</f>
        <v>6848181</v>
      </c>
      <c r="H208" s="23">
        <f>SUM(H211:H214)</f>
        <v>6782269.82</v>
      </c>
      <c r="I208" s="199">
        <f t="shared" si="4"/>
        <v>0.9903753741321966</v>
      </c>
      <c r="J208" s="129">
        <f t="shared" si="7"/>
        <v>0.21344779149122725</v>
      </c>
    </row>
    <row r="209" spans="1:10" ht="12.75">
      <c r="A209" s="178">
        <f t="shared" si="8"/>
        <v>142</v>
      </c>
      <c r="B209" s="15"/>
      <c r="C209" s="80" t="s">
        <v>15</v>
      </c>
      <c r="D209" s="23"/>
      <c r="E209" s="99"/>
      <c r="F209" s="166"/>
      <c r="G209" s="166"/>
      <c r="H209" s="166"/>
      <c r="I209" s="199"/>
      <c r="J209" s="129"/>
    </row>
    <row r="210" spans="1:10" ht="12.75">
      <c r="A210" s="178">
        <f t="shared" si="8"/>
        <v>143</v>
      </c>
      <c r="B210" s="15"/>
      <c r="C210" s="80" t="s">
        <v>529</v>
      </c>
      <c r="D210" s="23"/>
      <c r="E210" s="99"/>
      <c r="F210" s="166"/>
      <c r="G210" s="166"/>
      <c r="H210" s="166"/>
      <c r="I210" s="199"/>
      <c r="J210" s="129"/>
    </row>
    <row r="211" spans="1:10" ht="12.75">
      <c r="A211" s="178">
        <f t="shared" si="8"/>
        <v>144</v>
      </c>
      <c r="B211" s="4"/>
      <c r="C211" s="106" t="s">
        <v>530</v>
      </c>
      <c r="D211" s="25"/>
      <c r="E211" s="47"/>
      <c r="F211" s="28">
        <v>4500000</v>
      </c>
      <c r="G211" s="154">
        <v>6027000</v>
      </c>
      <c r="H211" s="154">
        <v>5988707.83</v>
      </c>
      <c r="I211" s="199">
        <f aca="true" t="shared" si="9" ref="I211:I280">H211/G211</f>
        <v>0.9936465621370499</v>
      </c>
      <c r="J211" s="129">
        <f aca="true" t="shared" si="10" ref="J211:J242">H211/H$54</f>
        <v>0.1884732536635825</v>
      </c>
    </row>
    <row r="212" spans="1:10" ht="12.75">
      <c r="A212" s="178">
        <f t="shared" si="8"/>
        <v>145</v>
      </c>
      <c r="B212" s="4"/>
      <c r="C212" s="106" t="s">
        <v>531</v>
      </c>
      <c r="D212" s="25"/>
      <c r="E212" s="47"/>
      <c r="F212" s="28">
        <v>0</v>
      </c>
      <c r="G212" s="154">
        <v>208500</v>
      </c>
      <c r="H212" s="154">
        <v>191734.03</v>
      </c>
      <c r="I212" s="199">
        <f t="shared" si="9"/>
        <v>0.9195876738609112</v>
      </c>
      <c r="J212" s="129">
        <f t="shared" si="10"/>
        <v>0.006034145845470464</v>
      </c>
    </row>
    <row r="213" spans="1:10" ht="12.75">
      <c r="A213" s="178">
        <f t="shared" si="8"/>
        <v>146</v>
      </c>
      <c r="B213" s="4"/>
      <c r="C213" s="227" t="s">
        <v>630</v>
      </c>
      <c r="D213" s="25"/>
      <c r="E213" s="47"/>
      <c r="F213" s="28">
        <v>0</v>
      </c>
      <c r="G213" s="154">
        <v>120000</v>
      </c>
      <c r="H213" s="154">
        <v>111201.55</v>
      </c>
      <c r="I213" s="199">
        <f>H213/G213</f>
        <v>0.9266795833333333</v>
      </c>
      <c r="J213" s="129">
        <f>H213/H$54</f>
        <v>0.0034996728068688488</v>
      </c>
    </row>
    <row r="214" spans="1:10" ht="12.75">
      <c r="A214" s="178">
        <f t="shared" si="8"/>
        <v>147</v>
      </c>
      <c r="B214" s="4"/>
      <c r="C214" s="227" t="s">
        <v>492</v>
      </c>
      <c r="D214" s="25"/>
      <c r="E214" s="47"/>
      <c r="F214" s="28">
        <v>270000</v>
      </c>
      <c r="G214" s="154">
        <v>492681</v>
      </c>
      <c r="H214" s="154">
        <v>490626.41</v>
      </c>
      <c r="I214" s="199">
        <f t="shared" si="9"/>
        <v>0.9958297762649665</v>
      </c>
      <c r="J214" s="129">
        <f t="shared" si="10"/>
        <v>0.015440719175305439</v>
      </c>
    </row>
    <row r="215" spans="1:10" s="71" customFormat="1" ht="12.75">
      <c r="A215" s="178">
        <f t="shared" si="8"/>
        <v>148</v>
      </c>
      <c r="B215" s="57">
        <v>710</v>
      </c>
      <c r="C215" s="79" t="s">
        <v>117</v>
      </c>
      <c r="D215" s="59"/>
      <c r="E215" s="60" t="e">
        <f>E216+E227+E240</f>
        <v>#REF!</v>
      </c>
      <c r="F215" s="59">
        <f>F216+F227+F240</f>
        <v>565000</v>
      </c>
      <c r="G215" s="59">
        <f>G216+G227+G240</f>
        <v>696750</v>
      </c>
      <c r="H215" s="59">
        <f>H216+H227+H240</f>
        <v>198916.27000000002</v>
      </c>
      <c r="I215" s="199">
        <f t="shared" si="9"/>
        <v>0.28549159669895946</v>
      </c>
      <c r="J215" s="129">
        <f t="shared" si="10"/>
        <v>0.006260181274116969</v>
      </c>
    </row>
    <row r="216" spans="1:10" ht="12.75">
      <c r="A216" s="178">
        <f t="shared" si="8"/>
        <v>149</v>
      </c>
      <c r="B216" s="11">
        <v>71004</v>
      </c>
      <c r="C216" s="69" t="s">
        <v>118</v>
      </c>
      <c r="D216" s="25"/>
      <c r="E216" s="45">
        <f>E219</f>
        <v>270000</v>
      </c>
      <c r="F216" s="26">
        <f>F218+F219</f>
        <v>325000</v>
      </c>
      <c r="G216" s="26">
        <f>G218+G219</f>
        <v>420750</v>
      </c>
      <c r="H216" s="26">
        <f>H218+H219</f>
        <v>104927.88</v>
      </c>
      <c r="I216" s="199">
        <f t="shared" si="9"/>
        <v>0.24938295900178253</v>
      </c>
      <c r="J216" s="129">
        <f t="shared" si="10"/>
        <v>0.0033022313836308733</v>
      </c>
    </row>
    <row r="217" spans="1:10" ht="12.75">
      <c r="A217" s="178">
        <f t="shared" si="8"/>
        <v>150</v>
      </c>
      <c r="B217" s="153">
        <v>4170</v>
      </c>
      <c r="C217" s="41" t="s">
        <v>532</v>
      </c>
      <c r="D217" s="25"/>
      <c r="E217" s="238"/>
      <c r="F217" s="170"/>
      <c r="G217" s="170"/>
      <c r="H217" s="170"/>
      <c r="I217" s="199"/>
      <c r="J217" s="135"/>
    </row>
    <row r="218" spans="1:10" ht="12.75">
      <c r="A218" s="178">
        <f t="shared" si="8"/>
        <v>151</v>
      </c>
      <c r="B218" s="150"/>
      <c r="C218" s="41" t="s">
        <v>533</v>
      </c>
      <c r="D218" s="25"/>
      <c r="E218" s="238"/>
      <c r="F218" s="154">
        <v>0</v>
      </c>
      <c r="G218" s="154">
        <v>20000</v>
      </c>
      <c r="H218" s="154">
        <v>20000</v>
      </c>
      <c r="I218" s="199">
        <f t="shared" si="9"/>
        <v>1</v>
      </c>
      <c r="J218" s="129">
        <f t="shared" si="10"/>
        <v>0.0006294287816795447</v>
      </c>
    </row>
    <row r="219" spans="1:10" ht="12.75">
      <c r="A219" s="178">
        <f t="shared" si="8"/>
        <v>152</v>
      </c>
      <c r="B219" s="4">
        <v>4300</v>
      </c>
      <c r="C219" s="80" t="s">
        <v>151</v>
      </c>
      <c r="D219" s="25"/>
      <c r="E219" s="47">
        <v>270000</v>
      </c>
      <c r="F219" s="154">
        <f>SUM(F221:F226)</f>
        <v>325000</v>
      </c>
      <c r="G219" s="154">
        <f>SUM(G221:G226)</f>
        <v>400750</v>
      </c>
      <c r="H219" s="154">
        <f>SUM(H221:H226)</f>
        <v>84927.88</v>
      </c>
      <c r="I219" s="199">
        <f t="shared" si="9"/>
        <v>0.21192234560199627</v>
      </c>
      <c r="J219" s="129">
        <f t="shared" si="10"/>
        <v>0.002672802601951329</v>
      </c>
    </row>
    <row r="220" spans="1:10" ht="12.75">
      <c r="A220" s="178">
        <f t="shared" si="8"/>
        <v>153</v>
      </c>
      <c r="B220" s="4"/>
      <c r="C220" s="80" t="s">
        <v>15</v>
      </c>
      <c r="D220" s="25"/>
      <c r="E220" s="47"/>
      <c r="F220" s="154"/>
      <c r="G220" s="154"/>
      <c r="H220" s="154"/>
      <c r="I220" s="199"/>
      <c r="J220" s="129"/>
    </row>
    <row r="221" spans="1:10" ht="12.75">
      <c r="A221" s="178">
        <f t="shared" si="8"/>
        <v>154</v>
      </c>
      <c r="B221" s="4"/>
      <c r="C221" s="80" t="s">
        <v>203</v>
      </c>
      <c r="D221" s="25"/>
      <c r="E221" s="47"/>
      <c r="F221" s="154">
        <v>250000</v>
      </c>
      <c r="G221" s="154">
        <v>80000</v>
      </c>
      <c r="H221" s="154">
        <v>28131.88</v>
      </c>
      <c r="I221" s="199">
        <f t="shared" si="9"/>
        <v>0.35164850000000003</v>
      </c>
      <c r="J221" s="129">
        <f t="shared" si="10"/>
        <v>0.0008853507477377575</v>
      </c>
    </row>
    <row r="222" spans="1:10" ht="12.75">
      <c r="A222" s="178">
        <f t="shared" si="8"/>
        <v>155</v>
      </c>
      <c r="B222" s="4"/>
      <c r="C222" s="80" t="s">
        <v>230</v>
      </c>
      <c r="D222" s="25"/>
      <c r="E222" s="47"/>
      <c r="F222" s="154">
        <v>60000</v>
      </c>
      <c r="G222" s="154">
        <v>60000</v>
      </c>
      <c r="H222" s="154">
        <v>38796</v>
      </c>
      <c r="I222" s="199">
        <f t="shared" si="9"/>
        <v>0.6466</v>
      </c>
      <c r="J222" s="129">
        <f t="shared" si="10"/>
        <v>0.0012209659507019808</v>
      </c>
    </row>
    <row r="223" spans="1:10" ht="12.75">
      <c r="A223" s="178">
        <f t="shared" si="8"/>
        <v>156</v>
      </c>
      <c r="B223" s="4"/>
      <c r="C223" s="80" t="s">
        <v>249</v>
      </c>
      <c r="D223" s="25"/>
      <c r="E223" s="47"/>
      <c r="F223" s="154">
        <v>15000</v>
      </c>
      <c r="G223" s="154">
        <v>15000</v>
      </c>
      <c r="H223" s="154">
        <v>0</v>
      </c>
      <c r="I223" s="199">
        <f t="shared" si="9"/>
        <v>0</v>
      </c>
      <c r="J223" s="129">
        <f t="shared" si="10"/>
        <v>0</v>
      </c>
    </row>
    <row r="224" spans="1:10" ht="12.75">
      <c r="A224" s="178">
        <f t="shared" si="8"/>
        <v>157</v>
      </c>
      <c r="B224" s="4"/>
      <c r="C224" s="214" t="s">
        <v>631</v>
      </c>
      <c r="D224" s="25"/>
      <c r="E224" s="47"/>
      <c r="F224" s="28">
        <v>0</v>
      </c>
      <c r="G224" s="154">
        <v>198860</v>
      </c>
      <c r="H224" s="154">
        <v>0</v>
      </c>
      <c r="I224" s="199">
        <f t="shared" si="9"/>
        <v>0</v>
      </c>
      <c r="J224" s="129">
        <f t="shared" si="10"/>
        <v>0</v>
      </c>
    </row>
    <row r="225" spans="1:10" ht="12.75">
      <c r="A225" s="178">
        <f t="shared" si="8"/>
        <v>158</v>
      </c>
      <c r="B225" s="4"/>
      <c r="C225" s="214" t="s">
        <v>632</v>
      </c>
      <c r="D225" s="25"/>
      <c r="E225" s="47"/>
      <c r="F225" s="28">
        <v>0</v>
      </c>
      <c r="G225" s="154">
        <v>46890</v>
      </c>
      <c r="H225" s="154">
        <v>18000</v>
      </c>
      <c r="I225" s="199">
        <f t="shared" si="9"/>
        <v>0.3838771593090211</v>
      </c>
      <c r="J225" s="129">
        <f t="shared" si="10"/>
        <v>0.0005664859035115902</v>
      </c>
    </row>
    <row r="226" spans="1:10" ht="12.75">
      <c r="A226" s="178">
        <f t="shared" si="8"/>
        <v>159</v>
      </c>
      <c r="B226" s="4"/>
      <c r="C226" s="106" t="s">
        <v>497</v>
      </c>
      <c r="D226" s="25"/>
      <c r="E226" s="47"/>
      <c r="F226" s="28">
        <v>0</v>
      </c>
      <c r="G226" s="154">
        <v>0</v>
      </c>
      <c r="H226" s="154">
        <v>0</v>
      </c>
      <c r="I226" s="199"/>
      <c r="J226" s="129">
        <f t="shared" si="10"/>
        <v>0</v>
      </c>
    </row>
    <row r="227" spans="1:10" ht="12.75">
      <c r="A227" s="178">
        <f t="shared" si="8"/>
        <v>160</v>
      </c>
      <c r="B227" s="11">
        <v>71014</v>
      </c>
      <c r="C227" s="69" t="s">
        <v>35</v>
      </c>
      <c r="D227" s="25"/>
      <c r="E227" s="45">
        <f>E228</f>
        <v>172000</v>
      </c>
      <c r="F227" s="26">
        <f>F228</f>
        <v>40000</v>
      </c>
      <c r="G227" s="26">
        <f>G228</f>
        <v>55000</v>
      </c>
      <c r="H227" s="26">
        <f>H228</f>
        <v>28469.980000000003</v>
      </c>
      <c r="I227" s="199">
        <f t="shared" si="9"/>
        <v>0.5176360000000001</v>
      </c>
      <c r="J227" s="129">
        <f t="shared" si="10"/>
        <v>0.0008959912412920503</v>
      </c>
    </row>
    <row r="228" spans="1:10" ht="12.75">
      <c r="A228" s="178">
        <f t="shared" si="8"/>
        <v>161</v>
      </c>
      <c r="B228" s="4">
        <v>4300</v>
      </c>
      <c r="C228" s="80" t="s">
        <v>151</v>
      </c>
      <c r="D228" s="25"/>
      <c r="E228" s="48">
        <f>SUM(E230:E233)</f>
        <v>172000</v>
      </c>
      <c r="F228" s="23">
        <f>SUM(F230:F235)</f>
        <v>40000</v>
      </c>
      <c r="G228" s="23">
        <f>SUM(G230:G235)</f>
        <v>55000</v>
      </c>
      <c r="H228" s="23">
        <f>SUM(H230:H235)</f>
        <v>28469.980000000003</v>
      </c>
      <c r="I228" s="199">
        <f t="shared" si="9"/>
        <v>0.5176360000000001</v>
      </c>
      <c r="J228" s="129">
        <f t="shared" si="10"/>
        <v>0.0008959912412920503</v>
      </c>
    </row>
    <row r="229" spans="1:10" ht="12.75">
      <c r="A229" s="178">
        <f t="shared" si="8"/>
        <v>162</v>
      </c>
      <c r="B229" s="4"/>
      <c r="C229" s="80" t="s">
        <v>15</v>
      </c>
      <c r="D229" s="25"/>
      <c r="E229" s="47"/>
      <c r="F229" s="154"/>
      <c r="G229" s="154"/>
      <c r="H229" s="154"/>
      <c r="I229" s="199"/>
      <c r="J229" s="129"/>
    </row>
    <row r="230" spans="1:10" ht="12.75">
      <c r="A230" s="178">
        <f t="shared" si="8"/>
        <v>163</v>
      </c>
      <c r="B230" s="4"/>
      <c r="C230" s="80" t="s">
        <v>36</v>
      </c>
      <c r="D230" s="25"/>
      <c r="E230" s="47">
        <v>80000</v>
      </c>
      <c r="F230" s="154">
        <v>20000</v>
      </c>
      <c r="G230" s="154">
        <v>29000</v>
      </c>
      <c r="H230" s="154">
        <v>10980</v>
      </c>
      <c r="I230" s="199">
        <f t="shared" si="9"/>
        <v>0.3786206896551724</v>
      </c>
      <c r="J230" s="129">
        <f t="shared" si="10"/>
        <v>0.00034555640114207004</v>
      </c>
    </row>
    <row r="231" spans="1:10" ht="12.75">
      <c r="A231" s="178">
        <f t="shared" si="8"/>
        <v>164</v>
      </c>
      <c r="B231" s="4"/>
      <c r="C231" s="80" t="s">
        <v>37</v>
      </c>
      <c r="D231" s="25"/>
      <c r="E231" s="47">
        <v>3000</v>
      </c>
      <c r="F231" s="154">
        <v>2000</v>
      </c>
      <c r="G231" s="154">
        <v>2000</v>
      </c>
      <c r="H231" s="154">
        <v>627</v>
      </c>
      <c r="I231" s="199">
        <f t="shared" si="9"/>
        <v>0.3135</v>
      </c>
      <c r="J231" s="129">
        <f t="shared" si="10"/>
        <v>1.9732592305653726E-05</v>
      </c>
    </row>
    <row r="232" spans="1:10" ht="12.75">
      <c r="A232" s="178">
        <f t="shared" si="8"/>
        <v>165</v>
      </c>
      <c r="B232" s="4"/>
      <c r="C232" s="80" t="s">
        <v>168</v>
      </c>
      <c r="D232" s="25"/>
      <c r="E232" s="47">
        <v>80000</v>
      </c>
      <c r="F232" s="154">
        <v>3000</v>
      </c>
      <c r="G232" s="154">
        <v>2950</v>
      </c>
      <c r="H232" s="154">
        <v>1708</v>
      </c>
      <c r="I232" s="199">
        <f t="shared" si="9"/>
        <v>0.5789830508474576</v>
      </c>
      <c r="J232" s="129">
        <f t="shared" si="10"/>
        <v>5.375321795543312E-05</v>
      </c>
    </row>
    <row r="233" spans="1:10" ht="12.75">
      <c r="A233" s="178">
        <f t="shared" si="8"/>
        <v>166</v>
      </c>
      <c r="B233" s="4"/>
      <c r="C233" s="80" t="s">
        <v>19</v>
      </c>
      <c r="D233" s="25"/>
      <c r="E233" s="47">
        <f>3000+3500+2500</f>
        <v>9000</v>
      </c>
      <c r="F233" s="154">
        <v>5000</v>
      </c>
      <c r="G233" s="154">
        <v>9050</v>
      </c>
      <c r="H233" s="154">
        <v>8298.58</v>
      </c>
      <c r="I233" s="199">
        <f t="shared" si="9"/>
        <v>0.9169701657458563</v>
      </c>
      <c r="J233" s="129">
        <f t="shared" si="10"/>
        <v>0.0002611682549535118</v>
      </c>
    </row>
    <row r="234" spans="1:10" ht="12.75">
      <c r="A234" s="178">
        <f t="shared" si="8"/>
        <v>167</v>
      </c>
      <c r="B234" s="4"/>
      <c r="C234" s="80" t="s">
        <v>217</v>
      </c>
      <c r="D234" s="25"/>
      <c r="E234" s="47"/>
      <c r="F234" s="154">
        <v>5000</v>
      </c>
      <c r="G234" s="154">
        <v>5000</v>
      </c>
      <c r="H234" s="154">
        <v>610</v>
      </c>
      <c r="I234" s="199">
        <f t="shared" si="9"/>
        <v>0.122</v>
      </c>
      <c r="J234" s="129">
        <f t="shared" si="10"/>
        <v>1.9197577841226114E-05</v>
      </c>
    </row>
    <row r="235" spans="1:10" ht="14.25" customHeight="1">
      <c r="A235" s="178">
        <f t="shared" si="8"/>
        <v>168</v>
      </c>
      <c r="B235" s="4"/>
      <c r="C235" s="80" t="s">
        <v>218</v>
      </c>
      <c r="D235" s="25"/>
      <c r="E235" s="47"/>
      <c r="F235" s="154">
        <v>5000</v>
      </c>
      <c r="G235" s="154">
        <v>7000</v>
      </c>
      <c r="H235" s="154">
        <v>6246.4</v>
      </c>
      <c r="I235" s="199">
        <f t="shared" si="9"/>
        <v>0.8923428571428571</v>
      </c>
      <c r="J235" s="129">
        <f t="shared" si="10"/>
        <v>0.00019658319709415538</v>
      </c>
    </row>
    <row r="236" spans="1:10" ht="14.25" customHeight="1">
      <c r="A236" s="178"/>
      <c r="B236" s="4"/>
      <c r="C236" s="80"/>
      <c r="D236" s="25"/>
      <c r="E236" s="47"/>
      <c r="F236" s="154"/>
      <c r="G236" s="154"/>
      <c r="H236" s="154"/>
      <c r="I236" s="199"/>
      <c r="J236" s="129"/>
    </row>
    <row r="237" spans="1:10" ht="14.25" customHeight="1">
      <c r="A237" s="178"/>
      <c r="B237" s="4"/>
      <c r="C237" s="80"/>
      <c r="D237" s="25"/>
      <c r="E237" s="47"/>
      <c r="F237" s="154"/>
      <c r="G237" s="154"/>
      <c r="H237" s="154"/>
      <c r="I237" s="199"/>
      <c r="J237" s="129"/>
    </row>
    <row r="238" spans="1:10" ht="14.25" customHeight="1">
      <c r="A238" s="178"/>
      <c r="B238" s="4"/>
      <c r="C238" s="80"/>
      <c r="D238" s="25"/>
      <c r="E238" s="47"/>
      <c r="F238" s="154"/>
      <c r="G238" s="154"/>
      <c r="H238" s="154"/>
      <c r="I238" s="199"/>
      <c r="J238" s="129"/>
    </row>
    <row r="239" spans="1:10" ht="14.25" customHeight="1">
      <c r="A239" s="178"/>
      <c r="B239" s="4"/>
      <c r="C239" s="80"/>
      <c r="D239" s="25"/>
      <c r="E239" s="47"/>
      <c r="F239" s="154"/>
      <c r="G239" s="154"/>
      <c r="H239" s="154"/>
      <c r="I239" s="199"/>
      <c r="J239" s="129"/>
    </row>
    <row r="240" spans="1:10" s="74" customFormat="1" ht="12.75">
      <c r="A240" s="178">
        <f>A235+1</f>
        <v>169</v>
      </c>
      <c r="B240" s="63">
        <v>71035</v>
      </c>
      <c r="C240" s="69" t="s">
        <v>190</v>
      </c>
      <c r="D240" s="64"/>
      <c r="E240" s="73" t="e">
        <f>E241</f>
        <v>#REF!</v>
      </c>
      <c r="F240" s="164">
        <f>F241+F242+F248+F249</f>
        <v>200000</v>
      </c>
      <c r="G240" s="164">
        <f>G241+G242+G248+G249</f>
        <v>221000</v>
      </c>
      <c r="H240" s="164">
        <f>H241+H242+H248+H249</f>
        <v>65518.41</v>
      </c>
      <c r="I240" s="199">
        <f t="shared" si="9"/>
        <v>0.2964633936651584</v>
      </c>
      <c r="J240" s="129">
        <f t="shared" si="10"/>
        <v>0.002061958649194045</v>
      </c>
    </row>
    <row r="241" spans="1:10" ht="12.75">
      <c r="A241" s="178">
        <f t="shared" si="8"/>
        <v>170</v>
      </c>
      <c r="B241" s="4">
        <v>2650</v>
      </c>
      <c r="C241" s="108" t="s">
        <v>345</v>
      </c>
      <c r="D241" s="25"/>
      <c r="E241" s="47" t="e">
        <f>SUM(#REF!)</f>
        <v>#REF!</v>
      </c>
      <c r="F241" s="154">
        <v>50000</v>
      </c>
      <c r="G241" s="154">
        <v>0</v>
      </c>
      <c r="H241" s="154">
        <v>0</v>
      </c>
      <c r="I241" s="199"/>
      <c r="J241" s="129">
        <f t="shared" si="10"/>
        <v>0</v>
      </c>
    </row>
    <row r="242" spans="1:10" ht="12.75">
      <c r="A242" s="178">
        <f>A241+1</f>
        <v>171</v>
      </c>
      <c r="B242" s="4">
        <v>4270</v>
      </c>
      <c r="C242" s="80" t="s">
        <v>445</v>
      </c>
      <c r="D242" s="25"/>
      <c r="E242" s="47"/>
      <c r="F242" s="154">
        <f>SUM(F245:F246)</f>
        <v>50000</v>
      </c>
      <c r="G242" s="154">
        <f>SUM(G245:G246)</f>
        <v>10000</v>
      </c>
      <c r="H242" s="154">
        <f>SUM(H245:H246)</f>
        <v>9638</v>
      </c>
      <c r="I242" s="199">
        <f t="shared" si="9"/>
        <v>0.9638</v>
      </c>
      <c r="J242" s="129">
        <f t="shared" si="10"/>
        <v>0.0003033217298913726</v>
      </c>
    </row>
    <row r="243" spans="1:10" ht="12.75">
      <c r="A243" s="178">
        <f t="shared" si="8"/>
        <v>172</v>
      </c>
      <c r="B243" s="4"/>
      <c r="C243" s="80" t="s">
        <v>15</v>
      </c>
      <c r="D243" s="25"/>
      <c r="E243" s="47"/>
      <c r="F243" s="154"/>
      <c r="G243" s="154"/>
      <c r="H243" s="154"/>
      <c r="I243" s="199"/>
      <c r="J243" s="129"/>
    </row>
    <row r="244" spans="1:10" ht="12.75">
      <c r="A244" s="178">
        <f>A243+1</f>
        <v>173</v>
      </c>
      <c r="B244" s="4"/>
      <c r="C244" s="208" t="s">
        <v>534</v>
      </c>
      <c r="D244" s="25"/>
      <c r="E244" s="47"/>
      <c r="F244" s="154"/>
      <c r="G244" s="154"/>
      <c r="H244" s="154"/>
      <c r="I244" s="199"/>
      <c r="J244" s="129"/>
    </row>
    <row r="245" spans="1:10" ht="12.75">
      <c r="A245" s="178">
        <f t="shared" si="8"/>
        <v>174</v>
      </c>
      <c r="B245" s="4"/>
      <c r="C245" s="208" t="s">
        <v>535</v>
      </c>
      <c r="D245" s="25"/>
      <c r="E245" s="47"/>
      <c r="F245" s="154">
        <v>50000</v>
      </c>
      <c r="G245" s="154">
        <v>0</v>
      </c>
      <c r="H245" s="154">
        <v>0</v>
      </c>
      <c r="I245" s="199"/>
      <c r="J245" s="129">
        <f aca="true" t="shared" si="11" ref="J245:J312">H245/H$54</f>
        <v>0</v>
      </c>
    </row>
    <row r="246" spans="1:10" ht="12.75">
      <c r="A246" s="178">
        <f t="shared" si="8"/>
        <v>175</v>
      </c>
      <c r="B246" s="4"/>
      <c r="C246" s="208" t="s">
        <v>536</v>
      </c>
      <c r="D246" s="25"/>
      <c r="E246" s="47"/>
      <c r="F246" s="154">
        <v>0</v>
      </c>
      <c r="G246" s="154">
        <v>10000</v>
      </c>
      <c r="H246" s="154">
        <v>9638</v>
      </c>
      <c r="I246" s="199">
        <f t="shared" si="9"/>
        <v>0.9638</v>
      </c>
      <c r="J246" s="129">
        <f t="shared" si="11"/>
        <v>0.0003033217298913726</v>
      </c>
    </row>
    <row r="247" spans="1:10" ht="12.75">
      <c r="A247" s="178">
        <f t="shared" si="8"/>
        <v>176</v>
      </c>
      <c r="B247" s="4">
        <v>4300</v>
      </c>
      <c r="C247" s="208" t="s">
        <v>537</v>
      </c>
      <c r="D247" s="25"/>
      <c r="E247" s="47"/>
      <c r="F247" s="154"/>
      <c r="G247" s="154"/>
      <c r="H247" s="154"/>
      <c r="I247" s="199"/>
      <c r="J247" s="129"/>
    </row>
    <row r="248" spans="1:10" ht="12.75">
      <c r="A248" s="178">
        <f t="shared" si="8"/>
        <v>177</v>
      </c>
      <c r="B248" s="4"/>
      <c r="C248" s="208" t="s">
        <v>538</v>
      </c>
      <c r="D248" s="25"/>
      <c r="E248" s="47"/>
      <c r="F248" s="154">
        <v>0</v>
      </c>
      <c r="G248" s="154">
        <v>10000</v>
      </c>
      <c r="H248" s="154">
        <v>5661.41</v>
      </c>
      <c r="I248" s="199">
        <f t="shared" si="9"/>
        <v>0.566141</v>
      </c>
      <c r="J248" s="129">
        <f t="shared" si="11"/>
        <v>0.00017817271994441955</v>
      </c>
    </row>
    <row r="249" spans="1:10" ht="12.75">
      <c r="A249" s="178">
        <f t="shared" si="8"/>
        <v>178</v>
      </c>
      <c r="B249" s="4">
        <v>6050</v>
      </c>
      <c r="C249" s="80" t="s">
        <v>212</v>
      </c>
      <c r="D249" s="25"/>
      <c r="E249" s="47"/>
      <c r="F249" s="154">
        <f>SUM(F251:F252)</f>
        <v>100000</v>
      </c>
      <c r="G249" s="154">
        <f>SUM(G251:G252)</f>
        <v>201000</v>
      </c>
      <c r="H249" s="154">
        <f>SUM(H251:H252)</f>
        <v>50219</v>
      </c>
      <c r="I249" s="199"/>
      <c r="J249" s="129"/>
    </row>
    <row r="250" spans="1:10" ht="12.75">
      <c r="A250" s="178">
        <f t="shared" si="8"/>
        <v>179</v>
      </c>
      <c r="B250" s="4"/>
      <c r="C250" s="80" t="s">
        <v>15</v>
      </c>
      <c r="D250" s="25"/>
      <c r="E250" s="47"/>
      <c r="F250" s="154"/>
      <c r="G250" s="154"/>
      <c r="H250" s="154"/>
      <c r="I250" s="199"/>
      <c r="J250" s="129"/>
    </row>
    <row r="251" spans="1:10" ht="12.75">
      <c r="A251" s="178">
        <f t="shared" si="8"/>
        <v>180</v>
      </c>
      <c r="B251" s="4"/>
      <c r="C251" s="80" t="s">
        <v>534</v>
      </c>
      <c r="D251" s="25"/>
      <c r="E251" s="47"/>
      <c r="F251" s="154">
        <v>0</v>
      </c>
      <c r="G251" s="154">
        <v>80000</v>
      </c>
      <c r="H251" s="154">
        <v>29219</v>
      </c>
      <c r="I251" s="199"/>
      <c r="J251" s="129"/>
    </row>
    <row r="252" spans="1:10" ht="12.75">
      <c r="A252" s="178">
        <f t="shared" si="8"/>
        <v>181</v>
      </c>
      <c r="B252" s="4"/>
      <c r="C252" s="108" t="s">
        <v>633</v>
      </c>
      <c r="D252" s="25"/>
      <c r="E252" s="47"/>
      <c r="F252" s="154">
        <v>100000</v>
      </c>
      <c r="G252" s="154">
        <v>121000</v>
      </c>
      <c r="H252" s="154">
        <v>21000</v>
      </c>
      <c r="I252" s="199">
        <f t="shared" si="9"/>
        <v>0.17355371900826447</v>
      </c>
      <c r="J252" s="129">
        <f t="shared" si="11"/>
        <v>0.0006609002207635219</v>
      </c>
    </row>
    <row r="253" spans="1:10" s="71" customFormat="1" ht="12.75">
      <c r="A253" s="178">
        <f t="shared" si="8"/>
        <v>182</v>
      </c>
      <c r="B253" s="57">
        <v>750</v>
      </c>
      <c r="C253" s="79" t="s">
        <v>119</v>
      </c>
      <c r="D253" s="59"/>
      <c r="E253" s="72" t="e">
        <f>E254+E275+E284+E420+#REF!+E423</f>
        <v>#REF!</v>
      </c>
      <c r="F253" s="167">
        <f>F254+F275+F284+F420+F423</f>
        <v>3955059</v>
      </c>
      <c r="G253" s="167">
        <f>G254+G275+G284+G420+G423</f>
        <v>4994422</v>
      </c>
      <c r="H253" s="167">
        <f>H254+H275+H284+H420+H423</f>
        <v>4535854.490000001</v>
      </c>
      <c r="I253" s="199">
        <f t="shared" si="9"/>
        <v>0.9081840681464244</v>
      </c>
      <c r="J253" s="129">
        <f t="shared" si="11"/>
        <v>0.14274986827581967</v>
      </c>
    </row>
    <row r="254" spans="1:10" s="74" customFormat="1" ht="12.75">
      <c r="A254" s="178">
        <f t="shared" si="8"/>
        <v>183</v>
      </c>
      <c r="B254" s="63">
        <v>75011</v>
      </c>
      <c r="C254" s="69" t="s">
        <v>66</v>
      </c>
      <c r="D254" s="64"/>
      <c r="E254" s="73">
        <f>SUM(E256:E270)</f>
        <v>134800</v>
      </c>
      <c r="F254" s="164">
        <f>F255+F256+F257+F258+F259+F260+F261+F265+F269+F270+F272+F274</f>
        <v>170857</v>
      </c>
      <c r="G254" s="164">
        <f>G255+G256+G257+G258+G259+G260+G261+G265+G269+G270+G272+G274</f>
        <v>172588</v>
      </c>
      <c r="H254" s="164">
        <f>H255+H256+H257+H258+H259+H260+H261+H265+H269+H270+H272+H274</f>
        <v>142671.39</v>
      </c>
      <c r="I254" s="199">
        <f t="shared" si="9"/>
        <v>0.8266588059424758</v>
      </c>
      <c r="J254" s="129">
        <f t="shared" si="11"/>
        <v>0.004490073959411359</v>
      </c>
    </row>
    <row r="255" spans="1:10" s="61" customFormat="1" ht="12.75">
      <c r="A255" s="178">
        <f t="shared" si="8"/>
        <v>184</v>
      </c>
      <c r="B255" s="86">
        <v>3020</v>
      </c>
      <c r="C255" s="80" t="s">
        <v>266</v>
      </c>
      <c r="D255" s="85"/>
      <c r="E255" s="84"/>
      <c r="F255" s="160">
        <v>0</v>
      </c>
      <c r="G255" s="160">
        <v>0</v>
      </c>
      <c r="H255" s="160">
        <v>0</v>
      </c>
      <c r="I255" s="199"/>
      <c r="J255" s="129">
        <f t="shared" si="11"/>
        <v>0</v>
      </c>
    </row>
    <row r="256" spans="1:10" ht="12.75">
      <c r="A256" s="178">
        <f t="shared" si="8"/>
        <v>185</v>
      </c>
      <c r="B256" s="15">
        <v>4010</v>
      </c>
      <c r="C256" s="123" t="s">
        <v>72</v>
      </c>
      <c r="D256" s="25"/>
      <c r="E256" s="47">
        <v>96400</v>
      </c>
      <c r="F256" s="154">
        <v>126200</v>
      </c>
      <c r="G256" s="154">
        <v>128285</v>
      </c>
      <c r="H256" s="154">
        <v>109527</v>
      </c>
      <c r="I256" s="199">
        <f t="shared" si="9"/>
        <v>0.8537786958724715</v>
      </c>
      <c r="J256" s="129">
        <f t="shared" si="11"/>
        <v>0.0034469723085507747</v>
      </c>
    </row>
    <row r="257" spans="1:10" ht="12.75">
      <c r="A257" s="178">
        <f t="shared" si="8"/>
        <v>186</v>
      </c>
      <c r="B257" s="15">
        <v>4040</v>
      </c>
      <c r="C257" s="123" t="s">
        <v>67</v>
      </c>
      <c r="D257" s="25"/>
      <c r="E257" s="47">
        <v>7800</v>
      </c>
      <c r="F257" s="154">
        <v>8000</v>
      </c>
      <c r="G257" s="154">
        <v>8000</v>
      </c>
      <c r="H257" s="154">
        <v>6878</v>
      </c>
      <c r="I257" s="199">
        <f t="shared" si="9"/>
        <v>0.85975</v>
      </c>
      <c r="J257" s="129">
        <f t="shared" si="11"/>
        <v>0.00021646055801959543</v>
      </c>
    </row>
    <row r="258" spans="1:10" ht="12.75">
      <c r="A258" s="178">
        <f t="shared" si="8"/>
        <v>187</v>
      </c>
      <c r="B258" s="15">
        <v>4110</v>
      </c>
      <c r="C258" s="123" t="s">
        <v>181</v>
      </c>
      <c r="D258" s="25"/>
      <c r="E258" s="47">
        <v>18700</v>
      </c>
      <c r="F258" s="154">
        <v>23200</v>
      </c>
      <c r="G258" s="154">
        <v>23200</v>
      </c>
      <c r="H258" s="154">
        <v>18648.45</v>
      </c>
      <c r="I258" s="199">
        <f t="shared" si="9"/>
        <v>0.8038125</v>
      </c>
      <c r="J258" s="129">
        <f t="shared" si="11"/>
        <v>0.0005868935581855953</v>
      </c>
    </row>
    <row r="259" spans="1:10" ht="12.75">
      <c r="A259" s="178">
        <f t="shared" si="8"/>
        <v>188</v>
      </c>
      <c r="B259" s="15">
        <v>4120</v>
      </c>
      <c r="C259" s="123" t="s">
        <v>70</v>
      </c>
      <c r="D259" s="25"/>
      <c r="E259" s="47">
        <v>2600</v>
      </c>
      <c r="F259" s="154">
        <v>3300</v>
      </c>
      <c r="G259" s="154">
        <v>3300</v>
      </c>
      <c r="H259" s="154">
        <v>2667.9</v>
      </c>
      <c r="I259" s="199">
        <f t="shared" si="9"/>
        <v>0.8084545454545455</v>
      </c>
      <c r="J259" s="129">
        <f t="shared" si="11"/>
        <v>8.396265233214287E-05</v>
      </c>
    </row>
    <row r="260" spans="1:10" ht="12.75">
      <c r="A260" s="178">
        <f t="shared" si="8"/>
        <v>189</v>
      </c>
      <c r="B260" s="15">
        <v>4170</v>
      </c>
      <c r="C260" s="123" t="s">
        <v>258</v>
      </c>
      <c r="D260" s="25"/>
      <c r="E260" s="47"/>
      <c r="F260" s="154">
        <v>0</v>
      </c>
      <c r="G260" s="154">
        <v>0</v>
      </c>
      <c r="H260" s="154">
        <v>0</v>
      </c>
      <c r="I260" s="199"/>
      <c r="J260" s="129">
        <f t="shared" si="11"/>
        <v>0</v>
      </c>
    </row>
    <row r="261" spans="1:10" ht="12.75">
      <c r="A261" s="178">
        <f t="shared" si="8"/>
        <v>190</v>
      </c>
      <c r="B261" s="15">
        <v>4210</v>
      </c>
      <c r="C261" s="123" t="s">
        <v>153</v>
      </c>
      <c r="D261" s="25"/>
      <c r="E261" s="52">
        <v>2000</v>
      </c>
      <c r="F261" s="168">
        <f>SUM(F263:F264)</f>
        <v>3900</v>
      </c>
      <c r="G261" s="168">
        <f>SUM(G263:G264)</f>
        <v>3716</v>
      </c>
      <c r="H261" s="168">
        <f>SUM(H263:H264)</f>
        <v>2253.84</v>
      </c>
      <c r="I261" s="199">
        <f t="shared" si="9"/>
        <v>0.6065231431646932</v>
      </c>
      <c r="J261" s="129">
        <f t="shared" si="11"/>
        <v>7.093158826503125E-05</v>
      </c>
    </row>
    <row r="262" spans="1:10" ht="12.75">
      <c r="A262" s="178">
        <f aca="true" t="shared" si="12" ref="A262:A274">A261+1</f>
        <v>191</v>
      </c>
      <c r="B262" s="15"/>
      <c r="C262" s="123" t="s">
        <v>15</v>
      </c>
      <c r="D262" s="25"/>
      <c r="E262" s="100"/>
      <c r="F262" s="168"/>
      <c r="G262" s="168"/>
      <c r="H262" s="168"/>
      <c r="I262" s="199"/>
      <c r="J262" s="129"/>
    </row>
    <row r="263" spans="1:10" ht="12.75">
      <c r="A263" s="178">
        <f t="shared" si="12"/>
        <v>192</v>
      </c>
      <c r="B263" s="15"/>
      <c r="C263" s="123" t="s">
        <v>247</v>
      </c>
      <c r="D263" s="25"/>
      <c r="E263" s="100"/>
      <c r="F263" s="168">
        <v>2900</v>
      </c>
      <c r="G263" s="168">
        <v>1716</v>
      </c>
      <c r="H263" s="168">
        <v>849.5</v>
      </c>
      <c r="I263" s="199">
        <f t="shared" si="9"/>
        <v>0.49504662004662003</v>
      </c>
      <c r="J263" s="129">
        <f t="shared" si="11"/>
        <v>2.673498750183866E-05</v>
      </c>
    </row>
    <row r="264" spans="1:10" ht="12.75">
      <c r="A264" s="178">
        <f t="shared" si="12"/>
        <v>193</v>
      </c>
      <c r="B264" s="15"/>
      <c r="C264" s="123" t="s">
        <v>248</v>
      </c>
      <c r="D264" s="25"/>
      <c r="E264" s="100"/>
      <c r="F264" s="168">
        <v>1000</v>
      </c>
      <c r="G264" s="168">
        <v>2000</v>
      </c>
      <c r="H264" s="168">
        <v>1404.34</v>
      </c>
      <c r="I264" s="199">
        <f t="shared" si="9"/>
        <v>0.70217</v>
      </c>
      <c r="J264" s="129">
        <f t="shared" si="11"/>
        <v>4.4196600763192586E-05</v>
      </c>
    </row>
    <row r="265" spans="1:10" ht="12.75">
      <c r="A265" s="178">
        <f t="shared" si="12"/>
        <v>194</v>
      </c>
      <c r="B265" s="15">
        <v>4300</v>
      </c>
      <c r="C265" s="123" t="s">
        <v>151</v>
      </c>
      <c r="D265" s="25"/>
      <c r="E265" s="47">
        <v>5100</v>
      </c>
      <c r="F265" s="154">
        <f>SUM(F267:F268)</f>
        <v>3000</v>
      </c>
      <c r="G265" s="154">
        <f>SUM(G267:G268)</f>
        <v>3000</v>
      </c>
      <c r="H265" s="154">
        <f>SUM(H267:H268)</f>
        <v>0</v>
      </c>
      <c r="I265" s="199">
        <f t="shared" si="9"/>
        <v>0</v>
      </c>
      <c r="J265" s="129">
        <f t="shared" si="11"/>
        <v>0</v>
      </c>
    </row>
    <row r="266" spans="1:10" ht="12.75">
      <c r="A266" s="178">
        <f t="shared" si="12"/>
        <v>195</v>
      </c>
      <c r="B266" s="15"/>
      <c r="C266" s="123" t="s">
        <v>15</v>
      </c>
      <c r="D266" s="25"/>
      <c r="E266" s="47"/>
      <c r="F266" s="154"/>
      <c r="G266" s="154"/>
      <c r="H266" s="154"/>
      <c r="I266" s="199"/>
      <c r="J266" s="129"/>
    </row>
    <row r="267" spans="1:10" ht="12.75">
      <c r="A267" s="178">
        <f t="shared" si="12"/>
        <v>196</v>
      </c>
      <c r="B267" s="15"/>
      <c r="C267" s="123" t="s">
        <v>247</v>
      </c>
      <c r="D267" s="25"/>
      <c r="E267" s="47"/>
      <c r="F267" s="154">
        <v>1000</v>
      </c>
      <c r="G267" s="154">
        <v>1000</v>
      </c>
      <c r="H267" s="154">
        <v>0</v>
      </c>
      <c r="I267" s="199">
        <f t="shared" si="9"/>
        <v>0</v>
      </c>
      <c r="J267" s="129">
        <f t="shared" si="11"/>
        <v>0</v>
      </c>
    </row>
    <row r="268" spans="1:10" ht="12.75">
      <c r="A268" s="178">
        <f t="shared" si="12"/>
        <v>197</v>
      </c>
      <c r="B268" s="15"/>
      <c r="C268" s="123" t="s">
        <v>248</v>
      </c>
      <c r="D268" s="25"/>
      <c r="E268" s="47"/>
      <c r="F268" s="154">
        <v>2000</v>
      </c>
      <c r="G268" s="154">
        <v>2000</v>
      </c>
      <c r="H268" s="154">
        <v>0</v>
      </c>
      <c r="I268" s="199">
        <f t="shared" si="9"/>
        <v>0</v>
      </c>
      <c r="J268" s="129">
        <f t="shared" si="11"/>
        <v>0</v>
      </c>
    </row>
    <row r="269" spans="1:10" ht="12.75">
      <c r="A269" s="178">
        <f t="shared" si="12"/>
        <v>198</v>
      </c>
      <c r="B269" s="15">
        <v>4410</v>
      </c>
      <c r="C269" s="123" t="s">
        <v>68</v>
      </c>
      <c r="D269" s="25"/>
      <c r="E269" s="46">
        <v>1000</v>
      </c>
      <c r="F269" s="154">
        <v>500</v>
      </c>
      <c r="G269" s="154">
        <v>500</v>
      </c>
      <c r="H269" s="154">
        <v>109.2</v>
      </c>
      <c r="I269" s="199">
        <f t="shared" si="9"/>
        <v>0.2184</v>
      </c>
      <c r="J269" s="129">
        <f t="shared" si="11"/>
        <v>3.4366811479703143E-06</v>
      </c>
    </row>
    <row r="270" spans="1:10" ht="12.75">
      <c r="A270" s="178">
        <f t="shared" si="12"/>
        <v>199</v>
      </c>
      <c r="B270" s="15">
        <v>4440</v>
      </c>
      <c r="C270" s="123" t="s">
        <v>71</v>
      </c>
      <c r="D270" s="25"/>
      <c r="E270" s="47">
        <v>1200</v>
      </c>
      <c r="F270" s="154">
        <v>1557</v>
      </c>
      <c r="G270" s="154">
        <v>1207</v>
      </c>
      <c r="H270" s="154">
        <v>1207</v>
      </c>
      <c r="I270" s="199">
        <f t="shared" si="9"/>
        <v>1</v>
      </c>
      <c r="J270" s="129">
        <f t="shared" si="11"/>
        <v>3.798602697436052E-05</v>
      </c>
    </row>
    <row r="271" spans="1:10" ht="12.75">
      <c r="A271" s="178">
        <f t="shared" si="12"/>
        <v>200</v>
      </c>
      <c r="B271" s="15">
        <v>4700</v>
      </c>
      <c r="C271" s="123" t="s">
        <v>398</v>
      </c>
      <c r="D271" s="25"/>
      <c r="E271" s="47"/>
      <c r="F271" s="154"/>
      <c r="G271" s="154"/>
      <c r="H271" s="154"/>
      <c r="I271" s="199"/>
      <c r="J271" s="129"/>
    </row>
    <row r="272" spans="1:10" ht="12.75">
      <c r="A272" s="178">
        <f t="shared" si="12"/>
        <v>201</v>
      </c>
      <c r="B272" s="15"/>
      <c r="C272" s="123" t="s">
        <v>397</v>
      </c>
      <c r="D272" s="25"/>
      <c r="E272" s="47"/>
      <c r="F272" s="154">
        <v>1200</v>
      </c>
      <c r="G272" s="154">
        <v>1380</v>
      </c>
      <c r="H272" s="154">
        <v>1380</v>
      </c>
      <c r="I272" s="199">
        <f t="shared" si="9"/>
        <v>1</v>
      </c>
      <c r="J272" s="129">
        <f t="shared" si="11"/>
        <v>4.343058593588858E-05</v>
      </c>
    </row>
    <row r="273" spans="1:10" ht="12.75">
      <c r="A273" s="178">
        <f t="shared" si="12"/>
        <v>202</v>
      </c>
      <c r="B273" s="15">
        <v>6050</v>
      </c>
      <c r="C273" s="80" t="s">
        <v>212</v>
      </c>
      <c r="D273" s="25"/>
      <c r="E273" s="47"/>
      <c r="F273" s="154"/>
      <c r="G273" s="154"/>
      <c r="H273" s="154"/>
      <c r="I273" s="199"/>
      <c r="J273" s="129"/>
    </row>
    <row r="274" spans="1:10" ht="12.75">
      <c r="A274" s="178">
        <f t="shared" si="12"/>
        <v>203</v>
      </c>
      <c r="B274" s="15"/>
      <c r="C274" s="123" t="s">
        <v>539</v>
      </c>
      <c r="D274" s="25"/>
      <c r="E274" s="47"/>
      <c r="F274" s="154">
        <v>0</v>
      </c>
      <c r="G274" s="154">
        <v>0</v>
      </c>
      <c r="H274" s="154">
        <v>0</v>
      </c>
      <c r="I274" s="199"/>
      <c r="J274" s="129">
        <f t="shared" si="11"/>
        <v>0</v>
      </c>
    </row>
    <row r="275" spans="1:10" s="74" customFormat="1" ht="12.75">
      <c r="A275" s="178">
        <f aca="true" t="shared" si="13" ref="A275:A308">A274+1</f>
        <v>204</v>
      </c>
      <c r="B275" s="63">
        <v>75022</v>
      </c>
      <c r="C275" s="69" t="s">
        <v>120</v>
      </c>
      <c r="D275" s="64"/>
      <c r="E275" s="73" t="e">
        <f>E276+E277+E278+E280+#REF!</f>
        <v>#REF!</v>
      </c>
      <c r="F275" s="164">
        <f>SUM(F276:F283)</f>
        <v>120000</v>
      </c>
      <c r="G275" s="164">
        <f>SUM(G276:G283)</f>
        <v>114700</v>
      </c>
      <c r="H275" s="164">
        <f>SUM(H276:H283)</f>
        <v>113459.21999999999</v>
      </c>
      <c r="I275" s="199">
        <f t="shared" si="9"/>
        <v>0.9891823888404533</v>
      </c>
      <c r="J275" s="129">
        <f t="shared" si="11"/>
        <v>0.0035707249307455713</v>
      </c>
    </row>
    <row r="276" spans="1:10" ht="12.75">
      <c r="A276" s="178">
        <f t="shared" si="13"/>
        <v>205</v>
      </c>
      <c r="B276" s="15">
        <v>3030</v>
      </c>
      <c r="C276" s="123" t="s">
        <v>73</v>
      </c>
      <c r="D276" s="25"/>
      <c r="E276" s="47">
        <v>110000</v>
      </c>
      <c r="F276" s="154">
        <v>98000</v>
      </c>
      <c r="G276" s="154">
        <v>92800</v>
      </c>
      <c r="H276" s="154">
        <v>92770</v>
      </c>
      <c r="I276" s="199">
        <f t="shared" si="9"/>
        <v>0.9996767241379311</v>
      </c>
      <c r="J276" s="129">
        <f t="shared" si="11"/>
        <v>0.002919605403820568</v>
      </c>
    </row>
    <row r="277" spans="1:10" ht="12.75">
      <c r="A277" s="178">
        <f t="shared" si="13"/>
        <v>206</v>
      </c>
      <c r="B277" s="15">
        <v>4210</v>
      </c>
      <c r="C277" s="123" t="s">
        <v>153</v>
      </c>
      <c r="D277" s="25"/>
      <c r="E277" s="47">
        <v>6400</v>
      </c>
      <c r="F277" s="154">
        <v>6000</v>
      </c>
      <c r="G277" s="154">
        <v>6150</v>
      </c>
      <c r="H277" s="154">
        <v>6013.9</v>
      </c>
      <c r="I277" s="199">
        <f t="shared" si="9"/>
        <v>0.9778699186991869</v>
      </c>
      <c r="J277" s="129">
        <f t="shared" si="11"/>
        <v>0.0001892660875071307</v>
      </c>
    </row>
    <row r="278" spans="1:10" ht="12.75">
      <c r="A278" s="178">
        <f t="shared" si="13"/>
        <v>207</v>
      </c>
      <c r="B278" s="15">
        <v>4300</v>
      </c>
      <c r="C278" s="123" t="s">
        <v>151</v>
      </c>
      <c r="D278" s="25"/>
      <c r="E278" s="46">
        <f>SUM(E279:E279)</f>
        <v>5300</v>
      </c>
      <c r="F278" s="28"/>
      <c r="G278" s="154"/>
      <c r="H278" s="154"/>
      <c r="I278" s="199"/>
      <c r="J278" s="129"/>
    </row>
    <row r="279" spans="1:10" ht="12.75">
      <c r="A279" s="178">
        <f t="shared" si="13"/>
        <v>208</v>
      </c>
      <c r="B279" s="75"/>
      <c r="C279" s="123" t="s">
        <v>540</v>
      </c>
      <c r="D279" s="25"/>
      <c r="E279" s="47">
        <v>5300</v>
      </c>
      <c r="F279" s="154">
        <v>8000</v>
      </c>
      <c r="G279" s="154">
        <v>9200</v>
      </c>
      <c r="H279" s="154">
        <v>8711.06</v>
      </c>
      <c r="I279" s="199">
        <f t="shared" si="9"/>
        <v>0.9468543478260869</v>
      </c>
      <c r="J279" s="129">
        <f t="shared" si="11"/>
        <v>0.0002741495941468707</v>
      </c>
    </row>
    <row r="280" spans="1:10" ht="12.75">
      <c r="A280" s="178">
        <f t="shared" si="13"/>
        <v>209</v>
      </c>
      <c r="B280" s="15">
        <v>4410</v>
      </c>
      <c r="C280" s="123" t="s">
        <v>68</v>
      </c>
      <c r="D280" s="25"/>
      <c r="E280" s="52" t="e">
        <f>SUM(#REF!)</f>
        <v>#REF!</v>
      </c>
      <c r="F280" s="165">
        <v>2000</v>
      </c>
      <c r="G280" s="168">
        <v>2000</v>
      </c>
      <c r="H280" s="168">
        <v>1504.26</v>
      </c>
      <c r="I280" s="199">
        <f t="shared" si="9"/>
        <v>0.75213</v>
      </c>
      <c r="J280" s="129">
        <f t="shared" si="11"/>
        <v>4.73412269564636E-05</v>
      </c>
    </row>
    <row r="281" spans="1:10" ht="12.75">
      <c r="A281" s="178">
        <f t="shared" si="13"/>
        <v>210</v>
      </c>
      <c r="B281" s="15">
        <v>4420</v>
      </c>
      <c r="C281" s="123" t="s">
        <v>43</v>
      </c>
      <c r="D281" s="25"/>
      <c r="E281" s="100"/>
      <c r="F281" s="168">
        <v>1000</v>
      </c>
      <c r="G281" s="168">
        <v>0</v>
      </c>
      <c r="H281" s="168">
        <v>0</v>
      </c>
      <c r="I281" s="199"/>
      <c r="J281" s="129">
        <f t="shared" si="11"/>
        <v>0</v>
      </c>
    </row>
    <row r="282" spans="1:10" ht="12.75">
      <c r="A282" s="178">
        <f t="shared" si="13"/>
        <v>211</v>
      </c>
      <c r="B282" s="15">
        <v>4700</v>
      </c>
      <c r="C282" s="123" t="s">
        <v>398</v>
      </c>
      <c r="D282" s="25"/>
      <c r="E282" s="100"/>
      <c r="F282" s="168"/>
      <c r="G282" s="168"/>
      <c r="H282" s="168"/>
      <c r="I282" s="199"/>
      <c r="J282" s="129"/>
    </row>
    <row r="283" spans="1:10" ht="12.75">
      <c r="A283" s="178">
        <f t="shared" si="13"/>
        <v>212</v>
      </c>
      <c r="B283" s="15"/>
      <c r="C283" s="123" t="s">
        <v>397</v>
      </c>
      <c r="D283" s="25"/>
      <c r="E283" s="100"/>
      <c r="F283" s="168">
        <v>5000</v>
      </c>
      <c r="G283" s="168">
        <v>4550</v>
      </c>
      <c r="H283" s="168">
        <v>4460</v>
      </c>
      <c r="I283" s="199">
        <f aca="true" t="shared" si="14" ref="I283:I329">H283/G283</f>
        <v>0.9802197802197802</v>
      </c>
      <c r="J283" s="129">
        <f t="shared" si="11"/>
        <v>0.00014036261831453848</v>
      </c>
    </row>
    <row r="284" spans="1:10" s="74" customFormat="1" ht="12.75">
      <c r="A284" s="178">
        <f t="shared" si="13"/>
        <v>213</v>
      </c>
      <c r="B284" s="63">
        <v>75023</v>
      </c>
      <c r="C284" s="69" t="s">
        <v>121</v>
      </c>
      <c r="D284" s="64"/>
      <c r="E284" s="73" t="e">
        <f>E285+E289+E291+E292+E293+E294+E295+E300+E315+E327+E376+E381+E382+E387+E390+E410</f>
        <v>#REF!</v>
      </c>
      <c r="F284" s="164">
        <f>F285+F290+F291+F292+F293+F294+F295+F297+F300+F315+F320+F326+F327+F369+F371+F373+F375+F376+F381+F382+F387+F388+F389+F390+F395+F397+F399+F403+F410</f>
        <v>3359070</v>
      </c>
      <c r="G284" s="164">
        <f>G285+G290+G291+G292+G293+G294+G295+G297+G300+G315+G320+G326+G327+G369+G371+G373+G375+G376+G381+G382+G387+G388+G389+G390+G395+G397+G399+G403+G410</f>
        <v>4318817</v>
      </c>
      <c r="H284" s="164">
        <f>H285+H290+H291+H292+H293+H294+H295+H297+H300+H315+H320+H326+H327+H369+H371+H373+H375+H376+H381+H382+H387+H388+H389+H390+H395+H397+H399+H403+H410</f>
        <v>3968747.8200000003</v>
      </c>
      <c r="I284" s="199">
        <f t="shared" si="14"/>
        <v>0.9189432708077235</v>
      </c>
      <c r="J284" s="129">
        <f t="shared" si="11"/>
        <v>0.12490220525679746</v>
      </c>
    </row>
    <row r="285" spans="1:10" ht="12.75">
      <c r="A285" s="178">
        <f t="shared" si="13"/>
        <v>214</v>
      </c>
      <c r="B285" s="15">
        <v>3020</v>
      </c>
      <c r="C285" s="126" t="s">
        <v>265</v>
      </c>
      <c r="D285" s="25"/>
      <c r="E285" s="46">
        <f>SUM(E287:E288)</f>
        <v>6800</v>
      </c>
      <c r="F285" s="28">
        <f>SUM(F287:F288)</f>
        <v>7900</v>
      </c>
      <c r="G285" s="28">
        <f>SUM(G287:G288)</f>
        <v>6900</v>
      </c>
      <c r="H285" s="28">
        <f>SUM(H287:H288)</f>
        <v>2250</v>
      </c>
      <c r="I285" s="199">
        <f t="shared" si="14"/>
        <v>0.32608695652173914</v>
      </c>
      <c r="J285" s="129">
        <f t="shared" si="11"/>
        <v>7.081073793894878E-05</v>
      </c>
    </row>
    <row r="286" spans="1:10" ht="12.75">
      <c r="A286" s="178">
        <f t="shared" si="13"/>
        <v>215</v>
      </c>
      <c r="B286" s="15"/>
      <c r="C286" s="123" t="s">
        <v>15</v>
      </c>
      <c r="D286" s="25"/>
      <c r="E286" s="47"/>
      <c r="F286" s="154"/>
      <c r="G286" s="154"/>
      <c r="H286" s="154"/>
      <c r="I286" s="199"/>
      <c r="J286" s="129"/>
    </row>
    <row r="287" spans="1:10" ht="12.75">
      <c r="A287" s="178">
        <f t="shared" si="13"/>
        <v>216</v>
      </c>
      <c r="B287" s="15"/>
      <c r="C287" s="123" t="s">
        <v>74</v>
      </c>
      <c r="D287" s="25"/>
      <c r="E287" s="47">
        <v>800</v>
      </c>
      <c r="F287" s="154">
        <v>400</v>
      </c>
      <c r="G287" s="154">
        <v>400</v>
      </c>
      <c r="H287" s="154">
        <v>0</v>
      </c>
      <c r="I287" s="199">
        <f t="shared" si="14"/>
        <v>0</v>
      </c>
      <c r="J287" s="129">
        <f t="shared" si="11"/>
        <v>0</v>
      </c>
    </row>
    <row r="288" spans="1:10" ht="12.75">
      <c r="A288" s="178">
        <f t="shared" si="13"/>
        <v>217</v>
      </c>
      <c r="B288" s="15"/>
      <c r="C288" s="123" t="s">
        <v>75</v>
      </c>
      <c r="D288" s="25"/>
      <c r="E288" s="47">
        <v>6000</v>
      </c>
      <c r="F288" s="154">
        <v>7500</v>
      </c>
      <c r="G288" s="154">
        <v>6500</v>
      </c>
      <c r="H288" s="154">
        <v>2250</v>
      </c>
      <c r="I288" s="199">
        <f t="shared" si="14"/>
        <v>0.34615384615384615</v>
      </c>
      <c r="J288" s="129">
        <f t="shared" si="11"/>
        <v>7.081073793894878E-05</v>
      </c>
    </row>
    <row r="289" spans="1:10" ht="12.75">
      <c r="A289" s="178">
        <f t="shared" si="13"/>
        <v>218</v>
      </c>
      <c r="B289" s="15">
        <v>3030</v>
      </c>
      <c r="C289" s="123" t="s">
        <v>76</v>
      </c>
      <c r="D289" s="25"/>
      <c r="E289" s="46">
        <f>SUM(E290:E290)</f>
        <v>5100</v>
      </c>
      <c r="F289" s="28"/>
      <c r="G289" s="154"/>
      <c r="H289" s="154"/>
      <c r="I289" s="199"/>
      <c r="J289" s="129"/>
    </row>
    <row r="290" spans="1:10" ht="12.75">
      <c r="A290" s="178">
        <f t="shared" si="13"/>
        <v>219</v>
      </c>
      <c r="B290" s="15"/>
      <c r="C290" s="123" t="s">
        <v>219</v>
      </c>
      <c r="D290" s="25"/>
      <c r="E290" s="47">
        <v>5100</v>
      </c>
      <c r="F290" s="154">
        <v>6800</v>
      </c>
      <c r="G290" s="154">
        <v>6800</v>
      </c>
      <c r="H290" s="154">
        <v>6552</v>
      </c>
      <c r="I290" s="199">
        <f t="shared" si="14"/>
        <v>0.9635294117647059</v>
      </c>
      <c r="J290" s="129">
        <f t="shared" si="11"/>
        <v>0.00020620086887821886</v>
      </c>
    </row>
    <row r="291" spans="1:10" ht="12.75">
      <c r="A291" s="178">
        <f t="shared" si="13"/>
        <v>220</v>
      </c>
      <c r="B291" s="15">
        <v>4010</v>
      </c>
      <c r="C291" s="123" t="s">
        <v>72</v>
      </c>
      <c r="D291" s="25"/>
      <c r="E291" s="47">
        <v>1320000</v>
      </c>
      <c r="F291" s="154">
        <v>1725000</v>
      </c>
      <c r="G291" s="154">
        <v>1710670</v>
      </c>
      <c r="H291" s="154">
        <v>1611560.15</v>
      </c>
      <c r="I291" s="199">
        <f t="shared" si="14"/>
        <v>0.942063723570297</v>
      </c>
      <c r="J291" s="129">
        <f t="shared" si="11"/>
        <v>0.05071811709089021</v>
      </c>
    </row>
    <row r="292" spans="1:10" ht="12.75">
      <c r="A292" s="178">
        <f t="shared" si="13"/>
        <v>221</v>
      </c>
      <c r="B292" s="15">
        <v>4040</v>
      </c>
      <c r="C292" s="123" t="s">
        <v>67</v>
      </c>
      <c r="D292" s="25"/>
      <c r="E292" s="47">
        <v>94000</v>
      </c>
      <c r="F292" s="154">
        <v>122000</v>
      </c>
      <c r="G292" s="154">
        <v>110939</v>
      </c>
      <c r="H292" s="154">
        <v>110816</v>
      </c>
      <c r="I292" s="199">
        <f t="shared" si="14"/>
        <v>0.9988912825967423</v>
      </c>
      <c r="J292" s="129">
        <f t="shared" si="11"/>
        <v>0.0034875389935300214</v>
      </c>
    </row>
    <row r="293" spans="1:10" ht="12.75">
      <c r="A293" s="178">
        <f t="shared" si="13"/>
        <v>222</v>
      </c>
      <c r="B293" s="15">
        <v>4110</v>
      </c>
      <c r="C293" s="123" t="s">
        <v>69</v>
      </c>
      <c r="D293" s="25"/>
      <c r="E293" s="47">
        <v>252000</v>
      </c>
      <c r="F293" s="154">
        <v>302000</v>
      </c>
      <c r="G293" s="154">
        <v>299054</v>
      </c>
      <c r="H293" s="154">
        <v>274429.06</v>
      </c>
      <c r="I293" s="199">
        <f t="shared" si="14"/>
        <v>0.9176572124097989</v>
      </c>
      <c r="J293" s="129">
        <f t="shared" si="11"/>
        <v>0.008636677444663133</v>
      </c>
    </row>
    <row r="294" spans="1:10" ht="12.75">
      <c r="A294" s="178">
        <f t="shared" si="13"/>
        <v>223</v>
      </c>
      <c r="B294" s="15">
        <v>4120</v>
      </c>
      <c r="C294" s="123" t="s">
        <v>70</v>
      </c>
      <c r="D294" s="25"/>
      <c r="E294" s="47">
        <v>34500</v>
      </c>
      <c r="F294" s="154">
        <v>43000</v>
      </c>
      <c r="G294" s="154">
        <v>42543</v>
      </c>
      <c r="H294" s="154">
        <v>40550.55</v>
      </c>
      <c r="I294" s="199">
        <f t="shared" si="14"/>
        <v>0.9531662083068896</v>
      </c>
      <c r="J294" s="129">
        <f t="shared" si="11"/>
        <v>0.001276184164146773</v>
      </c>
    </row>
    <row r="295" spans="1:10" ht="12.75">
      <c r="A295" s="178">
        <f t="shared" si="13"/>
        <v>224</v>
      </c>
      <c r="B295" s="15">
        <v>4140</v>
      </c>
      <c r="C295" s="123" t="s">
        <v>178</v>
      </c>
      <c r="D295" s="25"/>
      <c r="E295" s="47">
        <v>8000</v>
      </c>
      <c r="F295" s="154">
        <v>18000</v>
      </c>
      <c r="G295" s="154">
        <v>15617</v>
      </c>
      <c r="H295" s="154">
        <v>14590.6</v>
      </c>
      <c r="I295" s="199">
        <f t="shared" si="14"/>
        <v>0.9342767496958443</v>
      </c>
      <c r="J295" s="129">
        <f t="shared" si="11"/>
        <v>0.0004591871790986783</v>
      </c>
    </row>
    <row r="296" spans="1:10" ht="12.75">
      <c r="A296" s="178">
        <f t="shared" si="13"/>
        <v>225</v>
      </c>
      <c r="B296" s="15">
        <v>4170</v>
      </c>
      <c r="C296" s="123" t="s">
        <v>541</v>
      </c>
      <c r="D296" s="25"/>
      <c r="E296" s="47"/>
      <c r="F296" s="154"/>
      <c r="G296" s="154"/>
      <c r="H296" s="154"/>
      <c r="I296" s="199"/>
      <c r="J296" s="129"/>
    </row>
    <row r="297" spans="1:10" ht="12.75">
      <c r="A297" s="178">
        <f t="shared" si="13"/>
        <v>226</v>
      </c>
      <c r="B297" s="15"/>
      <c r="C297" s="123" t="s">
        <v>634</v>
      </c>
      <c r="D297" s="25"/>
      <c r="E297" s="47"/>
      <c r="F297" s="154">
        <v>27000</v>
      </c>
      <c r="G297" s="154">
        <v>22000</v>
      </c>
      <c r="H297" s="154">
        <v>10461</v>
      </c>
      <c r="I297" s="199">
        <f t="shared" si="14"/>
        <v>0.4755</v>
      </c>
      <c r="J297" s="129">
        <f t="shared" si="11"/>
        <v>0.00032922272425748585</v>
      </c>
    </row>
    <row r="298" spans="1:10" ht="12.75">
      <c r="A298" s="178"/>
      <c r="B298" s="15"/>
      <c r="C298" s="123"/>
      <c r="D298" s="25"/>
      <c r="E298" s="47"/>
      <c r="F298" s="154"/>
      <c r="G298" s="154"/>
      <c r="H298" s="154"/>
      <c r="I298" s="199"/>
      <c r="J298" s="129"/>
    </row>
    <row r="299" spans="1:10" ht="12.75">
      <c r="A299" s="178"/>
      <c r="B299" s="15"/>
      <c r="C299" s="123"/>
      <c r="D299" s="25"/>
      <c r="E299" s="47"/>
      <c r="F299" s="154"/>
      <c r="G299" s="154"/>
      <c r="H299" s="154"/>
      <c r="I299" s="199"/>
      <c r="J299" s="129"/>
    </row>
    <row r="300" spans="1:10" ht="12.75">
      <c r="A300" s="178">
        <f>A297+1</f>
        <v>227</v>
      </c>
      <c r="B300" s="15">
        <v>4210</v>
      </c>
      <c r="C300" s="123" t="s">
        <v>153</v>
      </c>
      <c r="D300" s="25"/>
      <c r="E300" s="52">
        <f>SUM(E302:E312)</f>
        <v>115280</v>
      </c>
      <c r="F300" s="168">
        <f>SUM(F302:F314)</f>
        <v>172230</v>
      </c>
      <c r="G300" s="168">
        <f>SUM(G302:G314)</f>
        <v>171830</v>
      </c>
      <c r="H300" s="168">
        <f>SUM(H302:H314)</f>
        <v>157503.59</v>
      </c>
      <c r="I300" s="199">
        <f t="shared" si="14"/>
        <v>0.9166245125996625</v>
      </c>
      <c r="J300" s="129">
        <f t="shared" si="11"/>
        <v>0.004956864638192726</v>
      </c>
    </row>
    <row r="301" spans="1:10" ht="12.75">
      <c r="A301" s="178">
        <f t="shared" si="13"/>
        <v>228</v>
      </c>
      <c r="B301" s="15"/>
      <c r="C301" s="123" t="s">
        <v>15</v>
      </c>
      <c r="D301" s="25"/>
      <c r="E301" s="47"/>
      <c r="F301" s="154"/>
      <c r="G301" s="154"/>
      <c r="H301" s="154"/>
      <c r="I301" s="199"/>
      <c r="J301" s="129"/>
    </row>
    <row r="302" spans="1:10" ht="12.75">
      <c r="A302" s="178">
        <f t="shared" si="13"/>
        <v>229</v>
      </c>
      <c r="B302" s="15"/>
      <c r="C302" s="123" t="s">
        <v>79</v>
      </c>
      <c r="D302" s="25"/>
      <c r="E302" s="47">
        <v>8000</v>
      </c>
      <c r="F302" s="165">
        <v>11600</v>
      </c>
      <c r="G302" s="168">
        <v>13500</v>
      </c>
      <c r="H302" s="168">
        <v>13423.41</v>
      </c>
      <c r="I302" s="199">
        <f t="shared" si="14"/>
        <v>0.9943266666666667</v>
      </c>
      <c r="J302" s="129">
        <f t="shared" si="11"/>
        <v>0.00042245403011425083</v>
      </c>
    </row>
    <row r="303" spans="1:10" ht="12.75">
      <c r="A303" s="178">
        <f t="shared" si="13"/>
        <v>230</v>
      </c>
      <c r="B303" s="15"/>
      <c r="C303" s="123" t="s">
        <v>80</v>
      </c>
      <c r="D303" s="25"/>
      <c r="E303" s="47">
        <v>22000</v>
      </c>
      <c r="F303" s="165">
        <v>23800</v>
      </c>
      <c r="G303" s="168">
        <v>30000</v>
      </c>
      <c r="H303" s="168">
        <v>28707.58</v>
      </c>
      <c r="I303" s="199">
        <f t="shared" si="14"/>
        <v>0.9569193333333333</v>
      </c>
      <c r="J303" s="129">
        <f t="shared" si="11"/>
        <v>0.0009034688552184032</v>
      </c>
    </row>
    <row r="304" spans="1:10" ht="12.75">
      <c r="A304" s="178">
        <f t="shared" si="13"/>
        <v>231</v>
      </c>
      <c r="B304" s="15"/>
      <c r="C304" s="123" t="s">
        <v>542</v>
      </c>
      <c r="D304" s="25"/>
      <c r="E304" s="47">
        <v>9000</v>
      </c>
      <c r="F304" s="165">
        <v>500</v>
      </c>
      <c r="G304" s="168">
        <v>100</v>
      </c>
      <c r="H304" s="168">
        <v>58.5</v>
      </c>
      <c r="I304" s="199">
        <f t="shared" si="14"/>
        <v>0.585</v>
      </c>
      <c r="J304" s="129">
        <f t="shared" si="11"/>
        <v>1.8410791864126682E-06</v>
      </c>
    </row>
    <row r="305" spans="1:10" ht="12.75">
      <c r="A305" s="178">
        <f t="shared" si="13"/>
        <v>232</v>
      </c>
      <c r="B305" s="15"/>
      <c r="C305" s="123" t="s">
        <v>81</v>
      </c>
      <c r="D305" s="25"/>
      <c r="E305" s="47">
        <v>23280</v>
      </c>
      <c r="F305" s="165">
        <v>50000</v>
      </c>
      <c r="G305" s="168">
        <v>42350</v>
      </c>
      <c r="H305" s="168">
        <v>41618.09</v>
      </c>
      <c r="I305" s="199">
        <f t="shared" si="14"/>
        <v>0.9827175914994096</v>
      </c>
      <c r="J305" s="129">
        <f t="shared" si="11"/>
        <v>0.001309781184226482</v>
      </c>
    </row>
    <row r="306" spans="1:10" ht="12.75">
      <c r="A306" s="178">
        <f t="shared" si="13"/>
        <v>233</v>
      </c>
      <c r="B306" s="15"/>
      <c r="C306" s="123" t="s">
        <v>82</v>
      </c>
      <c r="D306" s="25"/>
      <c r="E306" s="47">
        <v>15000</v>
      </c>
      <c r="F306" s="165">
        <v>11700</v>
      </c>
      <c r="G306" s="168">
        <v>8700</v>
      </c>
      <c r="H306" s="168">
        <v>7005.39</v>
      </c>
      <c r="I306" s="199">
        <f t="shared" si="14"/>
        <v>0.8052172413793104</v>
      </c>
      <c r="J306" s="129">
        <f t="shared" si="11"/>
        <v>0.0002204697046445033</v>
      </c>
    </row>
    <row r="307" spans="1:10" ht="12.75">
      <c r="A307" s="178">
        <f t="shared" si="13"/>
        <v>234</v>
      </c>
      <c r="B307" s="15"/>
      <c r="C307" s="123" t="s">
        <v>83</v>
      </c>
      <c r="D307" s="25"/>
      <c r="E307" s="47">
        <v>7400</v>
      </c>
      <c r="F307" s="165">
        <v>8320</v>
      </c>
      <c r="G307" s="168">
        <v>11120</v>
      </c>
      <c r="H307" s="168">
        <v>11061.15</v>
      </c>
      <c r="I307" s="199">
        <f t="shared" si="14"/>
        <v>0.9947077338129496</v>
      </c>
      <c r="J307" s="129">
        <f t="shared" si="11"/>
        <v>0.0003481103084237348</v>
      </c>
    </row>
    <row r="308" spans="1:10" ht="12.75">
      <c r="A308" s="178">
        <f t="shared" si="13"/>
        <v>235</v>
      </c>
      <c r="B308" s="15"/>
      <c r="C308" s="123" t="s">
        <v>84</v>
      </c>
      <c r="D308" s="25"/>
      <c r="E308" s="47">
        <v>18000</v>
      </c>
      <c r="F308" s="165">
        <v>8000</v>
      </c>
      <c r="G308" s="168">
        <v>13500</v>
      </c>
      <c r="H308" s="168">
        <v>10604.03</v>
      </c>
      <c r="I308" s="199">
        <f t="shared" si="14"/>
        <v>0.7854837037037038</v>
      </c>
      <c r="J308" s="129">
        <f t="shared" si="11"/>
        <v>0.00033372408418966715</v>
      </c>
    </row>
    <row r="309" spans="1:10" ht="12.75">
      <c r="A309" s="178">
        <f aca="true" t="shared" si="15" ref="A309:A319">A308+1</f>
        <v>236</v>
      </c>
      <c r="B309" s="15"/>
      <c r="C309" s="123" t="s">
        <v>346</v>
      </c>
      <c r="D309" s="25"/>
      <c r="E309" s="47">
        <f>500+600</f>
        <v>1100</v>
      </c>
      <c r="F309" s="165">
        <v>0</v>
      </c>
      <c r="G309" s="168"/>
      <c r="H309" s="168"/>
      <c r="I309" s="199"/>
      <c r="J309" s="129"/>
    </row>
    <row r="310" spans="1:10" ht="12.75">
      <c r="A310" s="178">
        <f t="shared" si="15"/>
        <v>237</v>
      </c>
      <c r="B310" s="15"/>
      <c r="C310" s="123" t="s">
        <v>19</v>
      </c>
      <c r="D310" s="25"/>
      <c r="E310" s="47">
        <v>5000</v>
      </c>
      <c r="F310" s="165">
        <v>8450</v>
      </c>
      <c r="G310" s="168">
        <v>6450</v>
      </c>
      <c r="H310" s="168">
        <v>4947.73</v>
      </c>
      <c r="I310" s="199">
        <f t="shared" si="14"/>
        <v>0.7670899224806201</v>
      </c>
      <c r="J310" s="129">
        <f t="shared" si="11"/>
        <v>0.00015571218329896668</v>
      </c>
    </row>
    <row r="311" spans="1:10" ht="12.75">
      <c r="A311" s="178">
        <f t="shared" si="15"/>
        <v>238</v>
      </c>
      <c r="B311" s="15"/>
      <c r="C311" s="123" t="s">
        <v>86</v>
      </c>
      <c r="D311" s="25"/>
      <c r="E311" s="47">
        <v>6500</v>
      </c>
      <c r="F311" s="165">
        <v>5100</v>
      </c>
      <c r="G311" s="168">
        <v>5100</v>
      </c>
      <c r="H311" s="168">
        <v>2560.44</v>
      </c>
      <c r="I311" s="199">
        <f t="shared" si="14"/>
        <v>0.5020470588235294</v>
      </c>
      <c r="J311" s="129">
        <f t="shared" si="11"/>
        <v>8.058073148817867E-05</v>
      </c>
    </row>
    <row r="312" spans="1:10" ht="12.75">
      <c r="A312" s="178">
        <f t="shared" si="15"/>
        <v>239</v>
      </c>
      <c r="B312" s="15"/>
      <c r="C312" s="123" t="s">
        <v>191</v>
      </c>
      <c r="D312" s="25"/>
      <c r="E312" s="47">
        <v>0</v>
      </c>
      <c r="F312" s="165">
        <v>34000</v>
      </c>
      <c r="G312" s="168">
        <v>35250</v>
      </c>
      <c r="H312" s="168">
        <v>34521.27</v>
      </c>
      <c r="I312" s="199">
        <f t="shared" si="14"/>
        <v>0.9793268085106382</v>
      </c>
      <c r="J312" s="129">
        <f t="shared" si="11"/>
        <v>0.0010864340459065308</v>
      </c>
    </row>
    <row r="313" spans="1:10" ht="12.75">
      <c r="A313" s="178">
        <f t="shared" si="15"/>
        <v>240</v>
      </c>
      <c r="B313" s="15"/>
      <c r="C313" s="123" t="s">
        <v>246</v>
      </c>
      <c r="D313" s="25"/>
      <c r="E313" s="47"/>
      <c r="F313" s="165">
        <v>2000</v>
      </c>
      <c r="G313" s="168">
        <v>0</v>
      </c>
      <c r="H313" s="168">
        <v>0</v>
      </c>
      <c r="I313" s="199"/>
      <c r="J313" s="129">
        <f aca="true" t="shared" si="16" ref="J313:J330">H313/H$54</f>
        <v>0</v>
      </c>
    </row>
    <row r="314" spans="1:10" ht="12.75">
      <c r="A314" s="178">
        <f t="shared" si="15"/>
        <v>241</v>
      </c>
      <c r="B314" s="15"/>
      <c r="C314" s="123" t="s">
        <v>226</v>
      </c>
      <c r="D314" s="25"/>
      <c r="E314" s="47"/>
      <c r="F314" s="165">
        <v>8760</v>
      </c>
      <c r="G314" s="168">
        <v>5760</v>
      </c>
      <c r="H314" s="168">
        <v>2996</v>
      </c>
      <c r="I314" s="199">
        <f t="shared" si="14"/>
        <v>0.5201388888888889</v>
      </c>
      <c r="J314" s="129">
        <f t="shared" si="16"/>
        <v>9.42884314955958E-05</v>
      </c>
    </row>
    <row r="315" spans="1:10" ht="12.75">
      <c r="A315" s="178">
        <f t="shared" si="15"/>
        <v>242</v>
      </c>
      <c r="B315" s="15">
        <v>4260</v>
      </c>
      <c r="C315" s="123" t="s">
        <v>155</v>
      </c>
      <c r="D315" s="25"/>
      <c r="E315" s="52">
        <f>SUM(E317:E318)</f>
        <v>13000</v>
      </c>
      <c r="F315" s="165">
        <f>SUM(F317:F319)</f>
        <v>14430</v>
      </c>
      <c r="G315" s="165">
        <f>SUM(G317:G319)</f>
        <v>18430</v>
      </c>
      <c r="H315" s="165">
        <f>SUM(H317:H319)</f>
        <v>14560.35</v>
      </c>
      <c r="I315" s="199">
        <f t="shared" si="14"/>
        <v>0.7900352685838308</v>
      </c>
      <c r="J315" s="129">
        <f t="shared" si="16"/>
        <v>0.00045823516806638793</v>
      </c>
    </row>
    <row r="316" spans="1:10" ht="12.75">
      <c r="A316" s="178">
        <f t="shared" si="15"/>
        <v>243</v>
      </c>
      <c r="B316" s="15"/>
      <c r="C316" s="123" t="s">
        <v>15</v>
      </c>
      <c r="D316" s="25"/>
      <c r="E316" s="47"/>
      <c r="F316" s="154"/>
      <c r="G316" s="154"/>
      <c r="H316" s="154"/>
      <c r="I316" s="199"/>
      <c r="J316" s="129"/>
    </row>
    <row r="317" spans="1:10" ht="12.75">
      <c r="A317" s="178">
        <f t="shared" si="15"/>
        <v>244</v>
      </c>
      <c r="B317" s="15"/>
      <c r="C317" s="123" t="s">
        <v>30</v>
      </c>
      <c r="D317" s="25"/>
      <c r="E317" s="47">
        <v>8000</v>
      </c>
      <c r="F317" s="154">
        <v>10000</v>
      </c>
      <c r="G317" s="154">
        <v>14000</v>
      </c>
      <c r="H317" s="154">
        <v>11837.53</v>
      </c>
      <c r="I317" s="199">
        <f t="shared" si="14"/>
        <v>0.8455378571428572</v>
      </c>
      <c r="J317" s="129">
        <f t="shared" si="16"/>
        <v>0.00037254410429975307</v>
      </c>
    </row>
    <row r="318" spans="1:10" ht="12.75">
      <c r="A318" s="178">
        <f t="shared" si="15"/>
        <v>245</v>
      </c>
      <c r="B318" s="15"/>
      <c r="C318" s="123" t="s">
        <v>87</v>
      </c>
      <c r="D318" s="25"/>
      <c r="E318" s="47">
        <v>5000</v>
      </c>
      <c r="F318" s="154">
        <v>3430</v>
      </c>
      <c r="G318" s="154">
        <v>3430</v>
      </c>
      <c r="H318" s="154">
        <v>2411.79</v>
      </c>
      <c r="I318" s="199">
        <f t="shared" si="14"/>
        <v>0.7031457725947522</v>
      </c>
      <c r="J318" s="129">
        <f t="shared" si="16"/>
        <v>7.590250206834545E-05</v>
      </c>
    </row>
    <row r="319" spans="1:10" ht="12.75">
      <c r="A319" s="178">
        <f t="shared" si="15"/>
        <v>246</v>
      </c>
      <c r="B319" s="15"/>
      <c r="C319" s="123" t="s">
        <v>347</v>
      </c>
      <c r="D319" s="25"/>
      <c r="E319" s="47"/>
      <c r="F319" s="154">
        <v>1000</v>
      </c>
      <c r="G319" s="154">
        <v>1000</v>
      </c>
      <c r="H319" s="154">
        <v>311.03</v>
      </c>
      <c r="I319" s="199">
        <f t="shared" si="14"/>
        <v>0.31103</v>
      </c>
      <c r="J319" s="129">
        <f t="shared" si="16"/>
        <v>9.788561698289438E-06</v>
      </c>
    </row>
    <row r="320" spans="1:10" ht="12.75">
      <c r="A320" s="178">
        <f>A319+1</f>
        <v>247</v>
      </c>
      <c r="B320" s="15">
        <v>4270</v>
      </c>
      <c r="C320" s="123" t="s">
        <v>380</v>
      </c>
      <c r="D320" s="25"/>
      <c r="E320" s="47"/>
      <c r="F320" s="154">
        <f>SUM(F322:F325)</f>
        <v>0</v>
      </c>
      <c r="G320" s="154">
        <f>SUM(G322:G325)</f>
        <v>44390</v>
      </c>
      <c r="H320" s="154">
        <f>SUM(H322:H325)</f>
        <v>35673.67</v>
      </c>
      <c r="I320" s="199">
        <f t="shared" si="14"/>
        <v>0.803642036494706</v>
      </c>
      <c r="J320" s="129">
        <f t="shared" si="16"/>
        <v>0.0011227017323069061</v>
      </c>
    </row>
    <row r="321" spans="1:10" ht="12.75">
      <c r="A321" s="178">
        <f>A320+1</f>
        <v>248</v>
      </c>
      <c r="B321" s="15"/>
      <c r="C321" s="123" t="s">
        <v>15</v>
      </c>
      <c r="D321" s="25"/>
      <c r="E321" s="47"/>
      <c r="F321" s="154"/>
      <c r="G321" s="154"/>
      <c r="H321" s="154"/>
      <c r="I321" s="199"/>
      <c r="J321" s="129"/>
    </row>
    <row r="322" spans="1:10" ht="12.75">
      <c r="A322" s="178">
        <f aca="true" t="shared" si="17" ref="A322:A375">A321+1</f>
        <v>249</v>
      </c>
      <c r="B322" s="15"/>
      <c r="C322" s="123" t="s">
        <v>543</v>
      </c>
      <c r="D322" s="25"/>
      <c r="E322" s="47"/>
      <c r="F322" s="154">
        <v>0</v>
      </c>
      <c r="G322" s="154">
        <v>8890</v>
      </c>
      <c r="H322" s="154">
        <v>5947.5</v>
      </c>
      <c r="I322" s="199">
        <f t="shared" si="14"/>
        <v>0.6690101237345332</v>
      </c>
      <c r="J322" s="129">
        <f t="shared" si="16"/>
        <v>0.0001871763839519546</v>
      </c>
    </row>
    <row r="323" spans="1:10" ht="12.75">
      <c r="A323" s="178">
        <f t="shared" si="17"/>
        <v>250</v>
      </c>
      <c r="B323" s="15"/>
      <c r="C323" s="123" t="s">
        <v>544</v>
      </c>
      <c r="D323" s="25"/>
      <c r="E323" s="47"/>
      <c r="F323" s="154">
        <v>0</v>
      </c>
      <c r="G323" s="154">
        <v>5200</v>
      </c>
      <c r="H323" s="154">
        <v>4800</v>
      </c>
      <c r="I323" s="199">
        <f t="shared" si="14"/>
        <v>0.9230769230769231</v>
      </c>
      <c r="J323" s="129">
        <f t="shared" si="16"/>
        <v>0.00015106290760309073</v>
      </c>
    </row>
    <row r="324" spans="1:10" ht="12.75">
      <c r="A324" s="178">
        <f t="shared" si="17"/>
        <v>251</v>
      </c>
      <c r="B324" s="15"/>
      <c r="C324" s="123" t="s">
        <v>93</v>
      </c>
      <c r="D324" s="25"/>
      <c r="E324" s="47"/>
      <c r="F324" s="154">
        <v>0</v>
      </c>
      <c r="G324" s="154">
        <v>4800</v>
      </c>
      <c r="H324" s="154">
        <v>3600</v>
      </c>
      <c r="I324" s="199">
        <f t="shared" si="14"/>
        <v>0.75</v>
      </c>
      <c r="J324" s="129">
        <f t="shared" si="16"/>
        <v>0.00011329718070231804</v>
      </c>
    </row>
    <row r="325" spans="1:10" ht="12.75">
      <c r="A325" s="178">
        <f t="shared" si="17"/>
        <v>252</v>
      </c>
      <c r="B325" s="15"/>
      <c r="C325" s="123" t="s">
        <v>545</v>
      </c>
      <c r="D325" s="25"/>
      <c r="E325" s="47"/>
      <c r="F325" s="154">
        <v>0</v>
      </c>
      <c r="G325" s="154">
        <v>25500</v>
      </c>
      <c r="H325" s="154">
        <v>21326.17</v>
      </c>
      <c r="I325" s="199">
        <f t="shared" si="14"/>
        <v>0.8363203921568627</v>
      </c>
      <c r="J325" s="129">
        <f t="shared" si="16"/>
        <v>0.0006711652600495427</v>
      </c>
    </row>
    <row r="326" spans="1:10" ht="12.75">
      <c r="A326" s="178">
        <f t="shared" si="17"/>
        <v>253</v>
      </c>
      <c r="B326" s="15">
        <v>4280</v>
      </c>
      <c r="C326" s="123" t="s">
        <v>326</v>
      </c>
      <c r="D326" s="25"/>
      <c r="E326" s="47"/>
      <c r="F326" s="154">
        <v>2000</v>
      </c>
      <c r="G326" s="154">
        <v>3000</v>
      </c>
      <c r="H326" s="154">
        <v>2675</v>
      </c>
      <c r="I326" s="199">
        <f t="shared" si="14"/>
        <v>0.8916666666666667</v>
      </c>
      <c r="J326" s="129">
        <f t="shared" si="16"/>
        <v>8.41860995496391E-05</v>
      </c>
    </row>
    <row r="327" spans="1:10" ht="12.75">
      <c r="A327" s="178">
        <f t="shared" si="17"/>
        <v>254</v>
      </c>
      <c r="B327" s="15">
        <v>4300</v>
      </c>
      <c r="C327" s="123" t="s">
        <v>151</v>
      </c>
      <c r="D327" s="25"/>
      <c r="E327" s="52">
        <f>SUM(E329:E366)</f>
        <v>291400</v>
      </c>
      <c r="F327" s="165">
        <f>SUM(F329:F368)</f>
        <v>515250</v>
      </c>
      <c r="G327" s="165">
        <f>SUM(G329:G368)</f>
        <v>1287670</v>
      </c>
      <c r="H327" s="165">
        <f>SUM(H329:H368)</f>
        <v>1209680.29</v>
      </c>
      <c r="I327" s="199">
        <f t="shared" si="14"/>
        <v>0.9394334650958709</v>
      </c>
      <c r="J327" s="129">
        <f t="shared" si="16"/>
        <v>0.038070379557822914</v>
      </c>
    </row>
    <row r="328" spans="1:10" ht="12.75">
      <c r="A328" s="178">
        <f t="shared" si="17"/>
        <v>255</v>
      </c>
      <c r="B328" s="15"/>
      <c r="C328" s="123" t="s">
        <v>15</v>
      </c>
      <c r="D328" s="25"/>
      <c r="E328" s="47"/>
      <c r="F328" s="154"/>
      <c r="G328" s="154"/>
      <c r="H328" s="154"/>
      <c r="I328" s="199"/>
      <c r="J328" s="129"/>
    </row>
    <row r="329" spans="1:10" ht="12.75">
      <c r="A329" s="178">
        <f t="shared" si="17"/>
        <v>256</v>
      </c>
      <c r="B329" s="15"/>
      <c r="C329" s="123" t="s">
        <v>60</v>
      </c>
      <c r="D329" s="25"/>
      <c r="E329" s="47">
        <v>65000</v>
      </c>
      <c r="F329" s="154">
        <v>97000</v>
      </c>
      <c r="G329" s="154">
        <v>97000</v>
      </c>
      <c r="H329" s="154">
        <v>88225.76</v>
      </c>
      <c r="I329" s="199">
        <f t="shared" si="14"/>
        <v>0.9095439175257731</v>
      </c>
      <c r="J329" s="129">
        <f t="shared" si="16"/>
        <v>0.002776591631477595</v>
      </c>
    </row>
    <row r="330" spans="1:10" ht="12.75">
      <c r="A330" s="178">
        <f t="shared" si="17"/>
        <v>257</v>
      </c>
      <c r="B330" s="15"/>
      <c r="C330" s="123" t="s">
        <v>88</v>
      </c>
      <c r="D330" s="25"/>
      <c r="E330" s="47">
        <v>7000</v>
      </c>
      <c r="F330" s="154">
        <v>10150</v>
      </c>
      <c r="G330" s="154">
        <v>0</v>
      </c>
      <c r="H330" s="154">
        <v>0</v>
      </c>
      <c r="I330" s="199"/>
      <c r="J330" s="129">
        <f t="shared" si="16"/>
        <v>0</v>
      </c>
    </row>
    <row r="331" spans="1:10" ht="12.75">
      <c r="A331" s="178">
        <f t="shared" si="17"/>
        <v>258</v>
      </c>
      <c r="B331" s="15"/>
      <c r="C331" s="123" t="s">
        <v>465</v>
      </c>
      <c r="D331" s="25"/>
      <c r="E331" s="47">
        <f>12000+3000+20000+30000+4500+25000+5000+10000</f>
        <v>109500</v>
      </c>
      <c r="F331" s="154"/>
      <c r="G331" s="154"/>
      <c r="H331" s="154"/>
      <c r="I331" s="199"/>
      <c r="J331" s="129"/>
    </row>
    <row r="332" spans="1:10" ht="12.75">
      <c r="A332" s="178">
        <f t="shared" si="17"/>
        <v>259</v>
      </c>
      <c r="B332" s="15"/>
      <c r="C332" s="126" t="s">
        <v>458</v>
      </c>
      <c r="D332" s="25"/>
      <c r="E332" s="47"/>
      <c r="F332" s="154"/>
      <c r="G332" s="154"/>
      <c r="H332" s="154"/>
      <c r="I332" s="199"/>
      <c r="J332" s="129"/>
    </row>
    <row r="333" spans="1:10" ht="12.75">
      <c r="A333" s="178">
        <f t="shared" si="17"/>
        <v>260</v>
      </c>
      <c r="B333" s="15"/>
      <c r="C333" s="126" t="s">
        <v>446</v>
      </c>
      <c r="D333" s="25"/>
      <c r="E333" s="47"/>
      <c r="F333" s="154"/>
      <c r="G333" s="154"/>
      <c r="H333" s="154"/>
      <c r="I333" s="199"/>
      <c r="J333" s="129"/>
    </row>
    <row r="334" spans="1:10" ht="12.75">
      <c r="A334" s="178">
        <f t="shared" si="17"/>
        <v>261</v>
      </c>
      <c r="B334" s="15"/>
      <c r="C334" s="126" t="s">
        <v>447</v>
      </c>
      <c r="D334" s="25"/>
      <c r="E334" s="47"/>
      <c r="F334" s="154"/>
      <c r="G334" s="154"/>
      <c r="H334" s="154"/>
      <c r="I334" s="199"/>
      <c r="J334" s="129"/>
    </row>
    <row r="335" spans="1:10" ht="12.75">
      <c r="A335" s="178">
        <f t="shared" si="17"/>
        <v>262</v>
      </c>
      <c r="B335" s="15"/>
      <c r="C335" s="126" t="s">
        <v>448</v>
      </c>
      <c r="D335" s="25"/>
      <c r="E335" s="47"/>
      <c r="F335" s="154"/>
      <c r="G335" s="154"/>
      <c r="H335" s="154"/>
      <c r="I335" s="199"/>
      <c r="J335" s="129"/>
    </row>
    <row r="336" spans="1:10" ht="12.75">
      <c r="A336" s="178">
        <f t="shared" si="17"/>
        <v>263</v>
      </c>
      <c r="B336" s="15"/>
      <c r="C336" s="126" t="s">
        <v>449</v>
      </c>
      <c r="D336" s="25"/>
      <c r="E336" s="47"/>
      <c r="F336" s="154"/>
      <c r="G336" s="154"/>
      <c r="H336" s="154"/>
      <c r="I336" s="199"/>
      <c r="J336" s="129"/>
    </row>
    <row r="337" spans="1:10" ht="12.75">
      <c r="A337" s="178">
        <f t="shared" si="17"/>
        <v>264</v>
      </c>
      <c r="B337" s="15"/>
      <c r="C337" s="126" t="s">
        <v>450</v>
      </c>
      <c r="D337" s="25"/>
      <c r="E337" s="47"/>
      <c r="F337" s="154"/>
      <c r="G337" s="154"/>
      <c r="H337" s="154"/>
      <c r="I337" s="199"/>
      <c r="J337" s="129"/>
    </row>
    <row r="338" spans="1:10" ht="12.75">
      <c r="A338" s="178">
        <f t="shared" si="17"/>
        <v>265</v>
      </c>
      <c r="B338" s="15"/>
      <c r="C338" s="126" t="s">
        <v>451</v>
      </c>
      <c r="D338" s="25"/>
      <c r="E338" s="47"/>
      <c r="F338" s="154"/>
      <c r="G338" s="154"/>
      <c r="H338" s="154"/>
      <c r="I338" s="199"/>
      <c r="J338" s="129"/>
    </row>
    <row r="339" spans="1:10" ht="12.75">
      <c r="A339" s="178">
        <f t="shared" si="17"/>
        <v>266</v>
      </c>
      <c r="B339" s="15"/>
      <c r="C339" s="126" t="s">
        <v>452</v>
      </c>
      <c r="D339" s="25"/>
      <c r="E339" s="47"/>
      <c r="F339" s="154"/>
      <c r="G339" s="154"/>
      <c r="H339" s="154"/>
      <c r="I339" s="199"/>
      <c r="J339" s="129"/>
    </row>
    <row r="340" spans="1:10" ht="12.75">
      <c r="A340" s="178">
        <f t="shared" si="17"/>
        <v>267</v>
      </c>
      <c r="B340" s="15"/>
      <c r="C340" s="126" t="s">
        <v>453</v>
      </c>
      <c r="D340" s="25"/>
      <c r="E340" s="47"/>
      <c r="F340" s="154"/>
      <c r="G340" s="154"/>
      <c r="H340" s="154"/>
      <c r="I340" s="199"/>
      <c r="J340" s="129"/>
    </row>
    <row r="341" spans="1:10" ht="12.75">
      <c r="A341" s="178">
        <f t="shared" si="17"/>
        <v>268</v>
      </c>
      <c r="B341" s="15"/>
      <c r="C341" s="126" t="s">
        <v>454</v>
      </c>
      <c r="D341" s="25"/>
      <c r="E341" s="47"/>
      <c r="F341" s="154"/>
      <c r="G341" s="154"/>
      <c r="H341" s="154"/>
      <c r="I341" s="199"/>
      <c r="J341" s="129"/>
    </row>
    <row r="342" spans="1:10" ht="12.75">
      <c r="A342" s="178">
        <f t="shared" si="17"/>
        <v>269</v>
      </c>
      <c r="B342" s="15"/>
      <c r="C342" s="126" t="s">
        <v>546</v>
      </c>
      <c r="D342" s="25"/>
      <c r="E342" s="47"/>
      <c r="F342" s="154"/>
      <c r="G342" s="154"/>
      <c r="H342" s="154"/>
      <c r="I342" s="199"/>
      <c r="J342" s="129"/>
    </row>
    <row r="343" spans="1:10" ht="12.75">
      <c r="A343" s="178">
        <f t="shared" si="17"/>
        <v>270</v>
      </c>
      <c r="B343" s="15"/>
      <c r="C343" s="126" t="s">
        <v>455</v>
      </c>
      <c r="D343" s="25"/>
      <c r="E343" s="47"/>
      <c r="F343" s="154"/>
      <c r="G343" s="154"/>
      <c r="H343" s="154"/>
      <c r="I343" s="199"/>
      <c r="J343" s="129"/>
    </row>
    <row r="344" spans="1:10" ht="12.75">
      <c r="A344" s="178">
        <f t="shared" si="17"/>
        <v>271</v>
      </c>
      <c r="B344" s="15"/>
      <c r="C344" s="126" t="s">
        <v>456</v>
      </c>
      <c r="D344" s="25"/>
      <c r="E344" s="47"/>
      <c r="F344" s="154"/>
      <c r="G344" s="154"/>
      <c r="H344" s="154"/>
      <c r="I344" s="199"/>
      <c r="J344" s="129"/>
    </row>
    <row r="345" spans="1:10" ht="12.75">
      <c r="A345" s="178">
        <f t="shared" si="17"/>
        <v>272</v>
      </c>
      <c r="B345" s="15"/>
      <c r="C345" s="126" t="s">
        <v>459</v>
      </c>
      <c r="D345" s="25"/>
      <c r="E345" s="47"/>
      <c r="F345" s="154"/>
      <c r="G345" s="154"/>
      <c r="H345" s="154"/>
      <c r="I345" s="199"/>
      <c r="J345" s="129"/>
    </row>
    <row r="346" spans="1:10" ht="12.75">
      <c r="A346" s="178">
        <f t="shared" si="17"/>
        <v>273</v>
      </c>
      <c r="B346" s="15"/>
      <c r="C346" s="126" t="s">
        <v>457</v>
      </c>
      <c r="D346" s="25"/>
      <c r="E346" s="47"/>
      <c r="F346" s="154"/>
      <c r="G346" s="154"/>
      <c r="H346" s="154"/>
      <c r="I346" s="199"/>
      <c r="J346" s="129"/>
    </row>
    <row r="347" spans="1:10" ht="12.75">
      <c r="A347" s="178">
        <f t="shared" si="17"/>
        <v>274</v>
      </c>
      <c r="B347" s="15"/>
      <c r="C347" s="126" t="s">
        <v>460</v>
      </c>
      <c r="D347" s="25"/>
      <c r="E347" s="47"/>
      <c r="F347" s="154"/>
      <c r="G347" s="154"/>
      <c r="H347" s="154"/>
      <c r="I347" s="199"/>
      <c r="J347" s="129"/>
    </row>
    <row r="348" spans="1:10" ht="12.75">
      <c r="A348" s="178">
        <f t="shared" si="17"/>
        <v>275</v>
      </c>
      <c r="B348" s="15"/>
      <c r="C348" s="126" t="s">
        <v>461</v>
      </c>
      <c r="D348" s="25"/>
      <c r="E348" s="47"/>
      <c r="F348" s="154"/>
      <c r="G348" s="154"/>
      <c r="H348" s="154"/>
      <c r="I348" s="199"/>
      <c r="J348" s="129"/>
    </row>
    <row r="349" spans="1:10" ht="12.75">
      <c r="A349" s="178">
        <f t="shared" si="17"/>
        <v>276</v>
      </c>
      <c r="B349" s="15"/>
      <c r="C349" s="126" t="s">
        <v>462</v>
      </c>
      <c r="D349" s="25"/>
      <c r="E349" s="47"/>
      <c r="F349" s="154"/>
      <c r="G349" s="154"/>
      <c r="H349" s="154"/>
      <c r="I349" s="199"/>
      <c r="J349" s="129"/>
    </row>
    <row r="350" spans="1:10" ht="12.75">
      <c r="A350" s="178">
        <f t="shared" si="17"/>
        <v>277</v>
      </c>
      <c r="B350" s="15"/>
      <c r="C350" s="126" t="s">
        <v>463</v>
      </c>
      <c r="D350" s="25"/>
      <c r="E350" s="47"/>
      <c r="F350" s="154"/>
      <c r="G350" s="154"/>
      <c r="H350" s="154"/>
      <c r="I350" s="199"/>
      <c r="J350" s="129"/>
    </row>
    <row r="351" spans="1:10" ht="12.75">
      <c r="A351" s="178">
        <f t="shared" si="17"/>
        <v>278</v>
      </c>
      <c r="B351" s="15"/>
      <c r="C351" s="217" t="s">
        <v>464</v>
      </c>
      <c r="D351" s="25"/>
      <c r="E351" s="47"/>
      <c r="F351" s="154">
        <f>151000+99000</f>
        <v>250000</v>
      </c>
      <c r="G351" s="154">
        <v>921900</v>
      </c>
      <c r="H351" s="154">
        <v>915060</v>
      </c>
      <c r="I351" s="199">
        <f aca="true" t="shared" si="18" ref="I351:I410">H351/G351</f>
        <v>0.9925805401887406</v>
      </c>
      <c r="J351" s="129">
        <f>H351/H$54</f>
        <v>0.02879825504818421</v>
      </c>
    </row>
    <row r="352" spans="1:10" s="223" customFormat="1" ht="12.75">
      <c r="A352" s="178">
        <f t="shared" si="17"/>
        <v>279</v>
      </c>
      <c r="B352" s="218"/>
      <c r="C352" s="218" t="s">
        <v>466</v>
      </c>
      <c r="D352" s="219"/>
      <c r="E352" s="220"/>
      <c r="F352" s="221"/>
      <c r="G352" s="221"/>
      <c r="H352" s="221"/>
      <c r="I352" s="199"/>
      <c r="J352" s="222"/>
    </row>
    <row r="353" spans="1:10" s="223" customFormat="1" ht="12.75">
      <c r="A353" s="178">
        <f t="shared" si="17"/>
        <v>280</v>
      </c>
      <c r="B353" s="224"/>
      <c r="C353" s="224" t="s">
        <v>467</v>
      </c>
      <c r="D353" s="219"/>
      <c r="E353" s="220"/>
      <c r="F353" s="221"/>
      <c r="G353" s="221"/>
      <c r="H353" s="221"/>
      <c r="I353" s="199"/>
      <c r="J353" s="222"/>
    </row>
    <row r="354" spans="1:10" s="223" customFormat="1" ht="12.75">
      <c r="A354" s="178">
        <f t="shared" si="17"/>
        <v>281</v>
      </c>
      <c r="B354" s="224"/>
      <c r="C354" s="224" t="s">
        <v>468</v>
      </c>
      <c r="D354" s="219"/>
      <c r="E354" s="220"/>
      <c r="F354" s="221">
        <v>23000</v>
      </c>
      <c r="G354" s="221">
        <v>28060</v>
      </c>
      <c r="H354" s="221">
        <v>28060</v>
      </c>
      <c r="I354" s="199">
        <f t="shared" si="18"/>
        <v>1</v>
      </c>
      <c r="J354" s="129">
        <f aca="true" t="shared" si="19" ref="J354:J408">H354/H$54</f>
        <v>0.0008830885806964012</v>
      </c>
    </row>
    <row r="355" spans="1:10" ht="12.75">
      <c r="A355" s="178">
        <f t="shared" si="17"/>
        <v>282</v>
      </c>
      <c r="B355" s="15"/>
      <c r="C355" s="123" t="s">
        <v>85</v>
      </c>
      <c r="D355" s="25"/>
      <c r="E355" s="47">
        <v>3600</v>
      </c>
      <c r="F355" s="154">
        <v>1100</v>
      </c>
      <c r="G355" s="154">
        <v>0</v>
      </c>
      <c r="H355" s="154">
        <v>0</v>
      </c>
      <c r="I355" s="199"/>
      <c r="J355" s="129">
        <f t="shared" si="19"/>
        <v>0</v>
      </c>
    </row>
    <row r="356" spans="1:10" ht="12.75">
      <c r="A356" s="178">
        <f t="shared" si="17"/>
        <v>283</v>
      </c>
      <c r="B356" s="15"/>
      <c r="C356" s="123" t="s">
        <v>231</v>
      </c>
      <c r="D356" s="25"/>
      <c r="E356" s="47"/>
      <c r="F356" s="154">
        <v>0</v>
      </c>
      <c r="G356" s="154">
        <v>0</v>
      </c>
      <c r="H356" s="154">
        <v>0</v>
      </c>
      <c r="I356" s="199"/>
      <c r="J356" s="129">
        <f t="shared" si="19"/>
        <v>0</v>
      </c>
    </row>
    <row r="357" spans="1:10" ht="12.75">
      <c r="A357" s="178">
        <f t="shared" si="17"/>
        <v>284</v>
      </c>
      <c r="B357" s="15"/>
      <c r="C357" s="123" t="s">
        <v>19</v>
      </c>
      <c r="D357" s="25"/>
      <c r="E357" s="47">
        <v>40000</v>
      </c>
      <c r="F357" s="154">
        <v>8500</v>
      </c>
      <c r="G357" s="154">
        <v>17260</v>
      </c>
      <c r="H357" s="154">
        <v>17149.33</v>
      </c>
      <c r="I357" s="199">
        <f t="shared" si="18"/>
        <v>0.993588064889919</v>
      </c>
      <c r="J357" s="129">
        <f t="shared" si="19"/>
        <v>0.0005397140944260234</v>
      </c>
    </row>
    <row r="358" spans="1:10" ht="12.75">
      <c r="A358" s="178">
        <f t="shared" si="17"/>
        <v>285</v>
      </c>
      <c r="B358" s="15"/>
      <c r="C358" s="123" t="s">
        <v>89</v>
      </c>
      <c r="D358" s="25"/>
      <c r="E358" s="47">
        <v>1500</v>
      </c>
      <c r="F358" s="154">
        <v>1100</v>
      </c>
      <c r="G358" s="154">
        <v>0</v>
      </c>
      <c r="H358" s="154">
        <v>0</v>
      </c>
      <c r="I358" s="199"/>
      <c r="J358" s="129">
        <f t="shared" si="19"/>
        <v>0</v>
      </c>
    </row>
    <row r="359" spans="1:10" ht="12.75">
      <c r="A359" s="178">
        <f t="shared" si="17"/>
        <v>286</v>
      </c>
      <c r="B359" s="15"/>
      <c r="C359" s="123" t="s">
        <v>90</v>
      </c>
      <c r="D359" s="25"/>
      <c r="E359" s="47">
        <v>6200</v>
      </c>
      <c r="F359" s="154">
        <v>8500</v>
      </c>
      <c r="G359" s="154">
        <v>9500</v>
      </c>
      <c r="H359" s="154">
        <v>9427.97</v>
      </c>
      <c r="I359" s="199">
        <f t="shared" si="18"/>
        <v>0.992417894736842</v>
      </c>
      <c r="J359" s="129">
        <f t="shared" si="19"/>
        <v>0.00029671178354056485</v>
      </c>
    </row>
    <row r="360" spans="1:10" ht="12.75">
      <c r="A360" s="178">
        <f t="shared" si="17"/>
        <v>287</v>
      </c>
      <c r="B360" s="15"/>
      <c r="C360" s="123" t="s">
        <v>91</v>
      </c>
      <c r="D360" s="25"/>
      <c r="E360" s="47">
        <v>16000</v>
      </c>
      <c r="F360" s="154">
        <v>16000</v>
      </c>
      <c r="G360" s="154">
        <v>16000</v>
      </c>
      <c r="H360" s="154">
        <v>15600</v>
      </c>
      <c r="I360" s="199">
        <f t="shared" si="18"/>
        <v>0.975</v>
      </c>
      <c r="J360" s="129">
        <f t="shared" si="19"/>
        <v>0.0004909544497100449</v>
      </c>
    </row>
    <row r="361" spans="1:10" ht="12.75">
      <c r="A361" s="178">
        <f t="shared" si="17"/>
        <v>288</v>
      </c>
      <c r="B361" s="15"/>
      <c r="C361" s="123" t="s">
        <v>52</v>
      </c>
      <c r="D361" s="25"/>
      <c r="E361" s="47">
        <v>18000</v>
      </c>
      <c r="F361" s="154">
        <v>0</v>
      </c>
      <c r="G361" s="154"/>
      <c r="H361" s="154"/>
      <c r="I361" s="199"/>
      <c r="J361" s="129">
        <f t="shared" si="19"/>
        <v>0</v>
      </c>
    </row>
    <row r="362" spans="1:10" ht="12.75">
      <c r="A362" s="178">
        <f t="shared" si="17"/>
        <v>289</v>
      </c>
      <c r="B362" s="15"/>
      <c r="C362" s="123" t="s">
        <v>92</v>
      </c>
      <c r="D362" s="25"/>
      <c r="E362" s="47">
        <v>7000</v>
      </c>
      <c r="F362" s="154">
        <v>6100</v>
      </c>
      <c r="G362" s="154">
        <v>6100</v>
      </c>
      <c r="H362" s="154">
        <v>5856</v>
      </c>
      <c r="I362" s="199">
        <f t="shared" si="18"/>
        <v>0.96</v>
      </c>
      <c r="J362" s="129">
        <f t="shared" si="19"/>
        <v>0.0001842967472757707</v>
      </c>
    </row>
    <row r="363" spans="1:10" ht="12.75">
      <c r="A363" s="178">
        <f t="shared" si="17"/>
        <v>290</v>
      </c>
      <c r="B363" s="15"/>
      <c r="C363" s="123" t="s">
        <v>172</v>
      </c>
      <c r="D363" s="25"/>
      <c r="E363" s="47">
        <v>1000</v>
      </c>
      <c r="F363" s="154">
        <v>23000</v>
      </c>
      <c r="G363" s="154">
        <v>132250</v>
      </c>
      <c r="H363" s="154">
        <v>121407.5</v>
      </c>
      <c r="I363" s="199">
        <f t="shared" si="18"/>
        <v>0.918015122873346</v>
      </c>
      <c r="J363" s="129">
        <f t="shared" si="19"/>
        <v>0.0038208687405879662</v>
      </c>
    </row>
    <row r="364" spans="1:10" ht="12.75">
      <c r="A364" s="178">
        <f t="shared" si="17"/>
        <v>291</v>
      </c>
      <c r="B364" s="15"/>
      <c r="C364" s="123" t="s">
        <v>84</v>
      </c>
      <c r="D364" s="25"/>
      <c r="E364" s="47">
        <v>10000</v>
      </c>
      <c r="F364" s="154">
        <v>8600</v>
      </c>
      <c r="G364" s="154">
        <v>8200</v>
      </c>
      <c r="H364" s="154">
        <v>7543.49</v>
      </c>
      <c r="I364" s="199">
        <f t="shared" si="18"/>
        <v>0.9199378048780488</v>
      </c>
      <c r="J364" s="129">
        <f t="shared" si="19"/>
        <v>0.00023740448601559144</v>
      </c>
    </row>
    <row r="365" spans="1:10" ht="12.75">
      <c r="A365" s="178">
        <f t="shared" si="17"/>
        <v>292</v>
      </c>
      <c r="B365" s="15"/>
      <c r="C365" s="123" t="s">
        <v>93</v>
      </c>
      <c r="D365" s="25"/>
      <c r="E365" s="47">
        <v>1800</v>
      </c>
      <c r="F365" s="154">
        <v>4800</v>
      </c>
      <c r="G365" s="154">
        <v>0</v>
      </c>
      <c r="H365" s="154">
        <v>0</v>
      </c>
      <c r="I365" s="199"/>
      <c r="J365" s="129">
        <f t="shared" si="19"/>
        <v>0</v>
      </c>
    </row>
    <row r="366" spans="1:10" ht="12.75">
      <c r="A366" s="178">
        <f t="shared" si="17"/>
        <v>293</v>
      </c>
      <c r="B366" s="15"/>
      <c r="C366" s="123" t="s">
        <v>227</v>
      </c>
      <c r="D366" s="25"/>
      <c r="E366" s="47">
        <v>4800</v>
      </c>
      <c r="F366" s="154">
        <v>5200</v>
      </c>
      <c r="G366" s="154">
        <v>0</v>
      </c>
      <c r="H366" s="154">
        <v>0</v>
      </c>
      <c r="I366" s="199"/>
      <c r="J366" s="129">
        <f t="shared" si="19"/>
        <v>0</v>
      </c>
    </row>
    <row r="367" spans="1:10" ht="12.75">
      <c r="A367" s="178">
        <f t="shared" si="17"/>
        <v>294</v>
      </c>
      <c r="B367" s="15"/>
      <c r="C367" s="126" t="s">
        <v>401</v>
      </c>
      <c r="D367" s="25"/>
      <c r="E367" s="47"/>
      <c r="F367" s="154">
        <v>50000</v>
      </c>
      <c r="G367" s="154">
        <v>50000</v>
      </c>
      <c r="H367" s="154">
        <v>0</v>
      </c>
      <c r="I367" s="199">
        <f t="shared" si="18"/>
        <v>0</v>
      </c>
      <c r="J367" s="129">
        <f t="shared" si="19"/>
        <v>0</v>
      </c>
    </row>
    <row r="368" spans="1:10" ht="12.75">
      <c r="A368" s="178">
        <f t="shared" si="17"/>
        <v>295</v>
      </c>
      <c r="B368" s="15"/>
      <c r="C368" s="123" t="s">
        <v>228</v>
      </c>
      <c r="D368" s="25"/>
      <c r="E368" s="47"/>
      <c r="F368" s="154">
        <v>2200</v>
      </c>
      <c r="G368" s="154">
        <v>1400</v>
      </c>
      <c r="H368" s="154">
        <v>1350.24</v>
      </c>
      <c r="I368" s="199">
        <f t="shared" si="18"/>
        <v>0.9644571428571429</v>
      </c>
      <c r="J368" s="129">
        <f t="shared" si="19"/>
        <v>4.2493995908749424E-05</v>
      </c>
    </row>
    <row r="369" spans="1:10" ht="12.75">
      <c r="A369" s="178">
        <f t="shared" si="17"/>
        <v>296</v>
      </c>
      <c r="B369" s="15">
        <v>4350</v>
      </c>
      <c r="C369" s="123" t="s">
        <v>382</v>
      </c>
      <c r="D369" s="25"/>
      <c r="E369" s="47"/>
      <c r="F369" s="154">
        <v>4470</v>
      </c>
      <c r="G369" s="154">
        <v>4470</v>
      </c>
      <c r="H369" s="154">
        <v>3988.18</v>
      </c>
      <c r="I369" s="199">
        <f t="shared" si="18"/>
        <v>0.8922102908277405</v>
      </c>
      <c r="J369" s="129">
        <f t="shared" si="19"/>
        <v>0.00012551376392593632</v>
      </c>
    </row>
    <row r="370" spans="1:10" ht="12.75">
      <c r="A370" s="178">
        <f t="shared" si="17"/>
        <v>297</v>
      </c>
      <c r="B370" s="15">
        <v>4360</v>
      </c>
      <c r="C370" s="123" t="s">
        <v>368</v>
      </c>
      <c r="D370" s="25"/>
      <c r="E370" s="47"/>
      <c r="F370" s="154"/>
      <c r="G370" s="154"/>
      <c r="H370" s="154"/>
      <c r="I370" s="199"/>
      <c r="J370" s="129"/>
    </row>
    <row r="371" spans="1:10" ht="12.75">
      <c r="A371" s="178">
        <f t="shared" si="17"/>
        <v>298</v>
      </c>
      <c r="B371" s="15"/>
      <c r="C371" s="123" t="s">
        <v>348</v>
      </c>
      <c r="D371" s="25"/>
      <c r="E371" s="47"/>
      <c r="F371" s="154">
        <f>28000-14000</f>
        <v>14000</v>
      </c>
      <c r="G371" s="154">
        <v>18000</v>
      </c>
      <c r="H371" s="154">
        <v>15213.17</v>
      </c>
      <c r="I371" s="199">
        <f t="shared" si="18"/>
        <v>0.8451761111111111</v>
      </c>
      <c r="J371" s="129">
        <f t="shared" si="19"/>
        <v>0.00047878035292918994</v>
      </c>
    </row>
    <row r="372" spans="1:10" ht="12.75">
      <c r="A372" s="178">
        <f t="shared" si="17"/>
        <v>299</v>
      </c>
      <c r="B372" s="15">
        <v>4370</v>
      </c>
      <c r="C372" s="123" t="s">
        <v>368</v>
      </c>
      <c r="D372" s="25"/>
      <c r="E372" s="47"/>
      <c r="F372" s="154"/>
      <c r="G372" s="154"/>
      <c r="H372" s="154"/>
      <c r="I372" s="199"/>
      <c r="J372" s="129"/>
    </row>
    <row r="373" spans="1:10" ht="12.75">
      <c r="A373" s="178">
        <f t="shared" si="17"/>
        <v>300</v>
      </c>
      <c r="B373" s="15"/>
      <c r="C373" s="123" t="s">
        <v>349</v>
      </c>
      <c r="D373" s="25"/>
      <c r="E373" s="47"/>
      <c r="F373" s="154">
        <v>40000</v>
      </c>
      <c r="G373" s="154">
        <v>45000</v>
      </c>
      <c r="H373" s="154">
        <v>44512.78</v>
      </c>
      <c r="I373" s="199">
        <f t="shared" si="18"/>
        <v>0.9891728888888889</v>
      </c>
      <c r="J373" s="129">
        <f t="shared" si="19"/>
        <v>0.0014008812442284802</v>
      </c>
    </row>
    <row r="374" spans="1:10" ht="12.75">
      <c r="A374" s="178">
        <f t="shared" si="17"/>
        <v>301</v>
      </c>
      <c r="B374" s="15">
        <v>4400</v>
      </c>
      <c r="C374" s="123" t="s">
        <v>548</v>
      </c>
      <c r="D374" s="25"/>
      <c r="E374" s="47"/>
      <c r="F374" s="154"/>
      <c r="G374" s="154"/>
      <c r="H374" s="154"/>
      <c r="I374" s="199"/>
      <c r="J374" s="129"/>
    </row>
    <row r="375" spans="1:10" ht="12.75">
      <c r="A375" s="178">
        <f t="shared" si="17"/>
        <v>302</v>
      </c>
      <c r="B375" s="15"/>
      <c r="C375" s="123" t="s">
        <v>547</v>
      </c>
      <c r="D375" s="25"/>
      <c r="E375" s="47"/>
      <c r="F375" s="154">
        <v>0</v>
      </c>
      <c r="G375" s="154">
        <v>33000</v>
      </c>
      <c r="H375" s="154">
        <v>27831.62</v>
      </c>
      <c r="I375" s="199">
        <f t="shared" si="18"/>
        <v>0.8433824242424243</v>
      </c>
      <c r="J375" s="129">
        <f t="shared" si="19"/>
        <v>0.0008759011334384025</v>
      </c>
    </row>
    <row r="376" spans="1:10" ht="12.75">
      <c r="A376" s="178">
        <f>A375+1</f>
        <v>303</v>
      </c>
      <c r="B376" s="15">
        <v>4410</v>
      </c>
      <c r="C376" s="123" t="s">
        <v>68</v>
      </c>
      <c r="D376" s="25"/>
      <c r="E376" s="52">
        <f>SUM(E378:E380)</f>
        <v>32700</v>
      </c>
      <c r="F376" s="165">
        <f>SUM(F378:F380)</f>
        <v>37700</v>
      </c>
      <c r="G376" s="165">
        <f>SUM(G378:G380)</f>
        <v>50700</v>
      </c>
      <c r="H376" s="165">
        <f>SUM(H378:H380)</f>
        <v>47329.7</v>
      </c>
      <c r="I376" s="199">
        <f t="shared" si="18"/>
        <v>0.933524654832347</v>
      </c>
      <c r="J376" s="129">
        <f t="shared" si="19"/>
        <v>0.0014895337704129172</v>
      </c>
    </row>
    <row r="377" spans="1:10" ht="12.75">
      <c r="A377" s="178">
        <f aca="true" t="shared" si="20" ref="A377:A435">A376+1</f>
        <v>304</v>
      </c>
      <c r="B377" s="15"/>
      <c r="C377" s="123" t="s">
        <v>15</v>
      </c>
      <c r="D377" s="25"/>
      <c r="E377" s="47"/>
      <c r="F377" s="154"/>
      <c r="G377" s="154"/>
      <c r="H377" s="154"/>
      <c r="I377" s="199"/>
      <c r="J377" s="129"/>
    </row>
    <row r="378" spans="1:10" ht="12.75">
      <c r="A378" s="178">
        <f t="shared" si="20"/>
        <v>305</v>
      </c>
      <c r="B378" s="15"/>
      <c r="C378" s="123" t="s">
        <v>58</v>
      </c>
      <c r="D378" s="25"/>
      <c r="E378" s="47">
        <v>6500</v>
      </c>
      <c r="F378" s="154">
        <v>7000</v>
      </c>
      <c r="G378" s="154">
        <v>21000</v>
      </c>
      <c r="H378" s="154">
        <v>20023.82</v>
      </c>
      <c r="I378" s="199">
        <f t="shared" si="18"/>
        <v>0.9535152380952381</v>
      </c>
      <c r="J378" s="129">
        <f t="shared" si="19"/>
        <v>0.0006301784313585251</v>
      </c>
    </row>
    <row r="379" spans="1:10" ht="12.75">
      <c r="A379" s="178">
        <f t="shared" si="20"/>
        <v>306</v>
      </c>
      <c r="B379" s="15"/>
      <c r="C379" s="123" t="s">
        <v>77</v>
      </c>
      <c r="D379" s="25"/>
      <c r="E379" s="47">
        <v>10000</v>
      </c>
      <c r="F379" s="154">
        <v>7700</v>
      </c>
      <c r="G379" s="154">
        <v>7700</v>
      </c>
      <c r="H379" s="154">
        <v>5525.2</v>
      </c>
      <c r="I379" s="199">
        <f t="shared" si="18"/>
        <v>0.7175584415584415</v>
      </c>
      <c r="J379" s="129">
        <f t="shared" si="19"/>
        <v>0.000173885995226791</v>
      </c>
    </row>
    <row r="380" spans="1:10" ht="12.75">
      <c r="A380" s="178">
        <f t="shared" si="20"/>
        <v>307</v>
      </c>
      <c r="B380" s="15"/>
      <c r="C380" s="123" t="s">
        <v>59</v>
      </c>
      <c r="D380" s="25"/>
      <c r="E380" s="47">
        <v>16200</v>
      </c>
      <c r="F380" s="154">
        <v>23000</v>
      </c>
      <c r="G380" s="154">
        <v>22000</v>
      </c>
      <c r="H380" s="154">
        <v>21780.68</v>
      </c>
      <c r="I380" s="199">
        <f t="shared" si="18"/>
        <v>0.9900309090909091</v>
      </c>
      <c r="J380" s="129">
        <f t="shared" si="19"/>
        <v>0.0006854693438276013</v>
      </c>
    </row>
    <row r="381" spans="1:10" ht="12.75">
      <c r="A381" s="178">
        <f t="shared" si="20"/>
        <v>308</v>
      </c>
      <c r="B381" s="15">
        <v>4420</v>
      </c>
      <c r="C381" s="123" t="s">
        <v>78</v>
      </c>
      <c r="D381" s="25"/>
      <c r="E381" s="47">
        <v>1600</v>
      </c>
      <c r="F381" s="154">
        <v>1600</v>
      </c>
      <c r="G381" s="154">
        <v>9600</v>
      </c>
      <c r="H381" s="154">
        <v>8879.97</v>
      </c>
      <c r="I381" s="199">
        <f t="shared" si="18"/>
        <v>0.9249968749999999</v>
      </c>
      <c r="J381" s="129">
        <f t="shared" si="19"/>
        <v>0.0002794654349225453</v>
      </c>
    </row>
    <row r="382" spans="1:10" ht="12.75">
      <c r="A382" s="178">
        <f t="shared" si="20"/>
        <v>309</v>
      </c>
      <c r="B382" s="15">
        <v>4430</v>
      </c>
      <c r="C382" s="123" t="s">
        <v>94</v>
      </c>
      <c r="D382" s="25"/>
      <c r="E382" s="46">
        <f>SUM(E384:E385)</f>
        <v>5100</v>
      </c>
      <c r="F382" s="28">
        <f>SUM(F384:F386)</f>
        <v>20200</v>
      </c>
      <c r="G382" s="28">
        <f>SUM(G384:G386)</f>
        <v>17911</v>
      </c>
      <c r="H382" s="28">
        <f>SUM(H384:H386)</f>
        <v>17747</v>
      </c>
      <c r="I382" s="199">
        <f t="shared" si="18"/>
        <v>0.990843615655184</v>
      </c>
      <c r="J382" s="129">
        <f t="shared" si="19"/>
        <v>0.000558523629423344</v>
      </c>
    </row>
    <row r="383" spans="1:10" ht="12.75">
      <c r="A383" s="178">
        <f t="shared" si="20"/>
        <v>310</v>
      </c>
      <c r="B383" s="15"/>
      <c r="C383" s="123" t="s">
        <v>15</v>
      </c>
      <c r="D383" s="25"/>
      <c r="E383" s="47"/>
      <c r="F383" s="154"/>
      <c r="G383" s="154"/>
      <c r="H383" s="154"/>
      <c r="I383" s="199"/>
      <c r="J383" s="129"/>
    </row>
    <row r="384" spans="1:10" ht="12.75">
      <c r="A384" s="178">
        <f t="shared" si="20"/>
        <v>311</v>
      </c>
      <c r="B384" s="15"/>
      <c r="C384" s="123" t="s">
        <v>95</v>
      </c>
      <c r="D384" s="25"/>
      <c r="E384" s="47">
        <v>5100</v>
      </c>
      <c r="F384" s="154">
        <v>14200</v>
      </c>
      <c r="G384" s="154">
        <v>14447</v>
      </c>
      <c r="H384" s="154">
        <v>14447</v>
      </c>
      <c r="I384" s="199">
        <f t="shared" si="18"/>
        <v>1</v>
      </c>
      <c r="J384" s="129">
        <f t="shared" si="19"/>
        <v>0.0004546678804462191</v>
      </c>
    </row>
    <row r="385" spans="1:10" ht="12.75">
      <c r="A385" s="178">
        <f t="shared" si="20"/>
        <v>312</v>
      </c>
      <c r="B385" s="15"/>
      <c r="C385" s="123" t="s">
        <v>192</v>
      </c>
      <c r="D385" s="25"/>
      <c r="E385" s="47">
        <v>0</v>
      </c>
      <c r="F385" s="154">
        <v>3000</v>
      </c>
      <c r="G385" s="154">
        <v>474</v>
      </c>
      <c r="H385" s="154">
        <v>310</v>
      </c>
      <c r="I385" s="199">
        <f t="shared" si="18"/>
        <v>0.6540084388185654</v>
      </c>
      <c r="J385" s="129">
        <f t="shared" si="19"/>
        <v>9.756146116032943E-06</v>
      </c>
    </row>
    <row r="386" spans="1:10" ht="12.75">
      <c r="A386" s="178">
        <f t="shared" si="20"/>
        <v>313</v>
      </c>
      <c r="B386" s="15"/>
      <c r="C386" s="123" t="s">
        <v>350</v>
      </c>
      <c r="D386" s="25"/>
      <c r="E386" s="47"/>
      <c r="F386" s="154">
        <v>3000</v>
      </c>
      <c r="G386" s="154">
        <v>2990</v>
      </c>
      <c r="H386" s="154">
        <v>2990</v>
      </c>
      <c r="I386" s="199">
        <f t="shared" si="18"/>
        <v>1</v>
      </c>
      <c r="J386" s="129">
        <f t="shared" si="19"/>
        <v>9.409960286109193E-05</v>
      </c>
    </row>
    <row r="387" spans="1:10" ht="12.75">
      <c r="A387" s="178">
        <f t="shared" si="20"/>
        <v>314</v>
      </c>
      <c r="B387" s="15">
        <v>4440</v>
      </c>
      <c r="C387" s="123" t="s">
        <v>96</v>
      </c>
      <c r="D387" s="25"/>
      <c r="E387" s="47">
        <v>17500</v>
      </c>
      <c r="F387" s="154">
        <v>25700</v>
      </c>
      <c r="G387" s="154">
        <v>28698</v>
      </c>
      <c r="H387" s="154">
        <v>28698</v>
      </c>
      <c r="I387" s="199">
        <f t="shared" si="18"/>
        <v>1</v>
      </c>
      <c r="J387" s="129">
        <f t="shared" si="19"/>
        <v>0.0009031673588319786</v>
      </c>
    </row>
    <row r="388" spans="1:10" ht="12.75">
      <c r="A388" s="178">
        <f t="shared" si="20"/>
        <v>315</v>
      </c>
      <c r="B388" s="15">
        <v>4530</v>
      </c>
      <c r="C388" s="123" t="s">
        <v>351</v>
      </c>
      <c r="D388" s="25"/>
      <c r="E388" s="47"/>
      <c r="F388" s="154">
        <v>0</v>
      </c>
      <c r="G388" s="154">
        <v>0</v>
      </c>
      <c r="H388" s="154">
        <v>0</v>
      </c>
      <c r="I388" s="199"/>
      <c r="J388" s="129">
        <f t="shared" si="19"/>
        <v>0</v>
      </c>
    </row>
    <row r="389" spans="1:10" ht="12.75">
      <c r="A389" s="178">
        <f t="shared" si="20"/>
        <v>316</v>
      </c>
      <c r="B389" s="15">
        <v>4580</v>
      </c>
      <c r="C389" s="123" t="s">
        <v>204</v>
      </c>
      <c r="D389" s="25"/>
      <c r="E389" s="47"/>
      <c r="F389" s="154">
        <v>0</v>
      </c>
      <c r="G389" s="154">
        <v>5</v>
      </c>
      <c r="H389" s="154">
        <v>5</v>
      </c>
      <c r="I389" s="199">
        <f t="shared" si="18"/>
        <v>1</v>
      </c>
      <c r="J389" s="129">
        <f t="shared" si="19"/>
        <v>1.5735719541988619E-07</v>
      </c>
    </row>
    <row r="390" spans="1:10" ht="12.75">
      <c r="A390" s="178">
        <f t="shared" si="20"/>
        <v>317</v>
      </c>
      <c r="B390" s="15">
        <v>4610</v>
      </c>
      <c r="C390" s="123" t="s">
        <v>214</v>
      </c>
      <c r="D390" s="25"/>
      <c r="E390" s="47">
        <v>37000</v>
      </c>
      <c r="F390" s="154">
        <f>SUM(F392:F393)</f>
        <v>40000</v>
      </c>
      <c r="G390" s="154">
        <f>SUM(G392:G393)</f>
        <v>39400</v>
      </c>
      <c r="H390" s="154">
        <f>SUM(H392:H393)</f>
        <v>28307.050000000003</v>
      </c>
      <c r="I390" s="199">
        <f t="shared" si="18"/>
        <v>0.7184530456852792</v>
      </c>
      <c r="J390" s="129">
        <f t="shared" si="19"/>
        <v>0.0008908635997220979</v>
      </c>
    </row>
    <row r="391" spans="1:10" ht="12.75">
      <c r="A391" s="178">
        <f t="shared" si="20"/>
        <v>318</v>
      </c>
      <c r="B391" s="15"/>
      <c r="C391" s="123" t="s">
        <v>15</v>
      </c>
      <c r="D391" s="25"/>
      <c r="E391" s="47"/>
      <c r="F391" s="154"/>
      <c r="G391" s="154"/>
      <c r="H391" s="154"/>
      <c r="I391" s="199"/>
      <c r="J391" s="129"/>
    </row>
    <row r="392" spans="1:10" ht="12.75">
      <c r="A392" s="178">
        <f t="shared" si="20"/>
        <v>319</v>
      </c>
      <c r="B392" s="15"/>
      <c r="C392" s="123" t="s">
        <v>353</v>
      </c>
      <c r="D392" s="25"/>
      <c r="E392" s="47"/>
      <c r="F392" s="154">
        <v>20000</v>
      </c>
      <c r="G392" s="154">
        <v>32400</v>
      </c>
      <c r="H392" s="154">
        <v>25142.4</v>
      </c>
      <c r="I392" s="199">
        <f t="shared" si="18"/>
        <v>0.776</v>
      </c>
      <c r="J392" s="129">
        <f t="shared" si="19"/>
        <v>0.0007912675100249893</v>
      </c>
    </row>
    <row r="393" spans="1:10" ht="12.75">
      <c r="A393" s="178">
        <f t="shared" si="20"/>
        <v>320</v>
      </c>
      <c r="B393" s="15"/>
      <c r="C393" s="123" t="s">
        <v>352</v>
      </c>
      <c r="D393" s="25"/>
      <c r="E393" s="47"/>
      <c r="F393" s="154">
        <v>20000</v>
      </c>
      <c r="G393" s="154">
        <v>7000</v>
      </c>
      <c r="H393" s="154">
        <v>3164.65</v>
      </c>
      <c r="I393" s="199">
        <f t="shared" si="18"/>
        <v>0.45209285714285713</v>
      </c>
      <c r="J393" s="129">
        <f t="shared" si="19"/>
        <v>9.959608969710856E-05</v>
      </c>
    </row>
    <row r="394" spans="1:10" ht="12.75">
      <c r="A394" s="178">
        <f t="shared" si="20"/>
        <v>321</v>
      </c>
      <c r="B394" s="15">
        <v>4700</v>
      </c>
      <c r="C394" s="123" t="s">
        <v>398</v>
      </c>
      <c r="D394" s="25"/>
      <c r="E394" s="47"/>
      <c r="F394" s="154"/>
      <c r="G394" s="154"/>
      <c r="H394" s="154"/>
      <c r="I394" s="199"/>
      <c r="J394" s="129"/>
    </row>
    <row r="395" spans="1:10" ht="12.75">
      <c r="A395" s="178">
        <f t="shared" si="20"/>
        <v>322</v>
      </c>
      <c r="B395" s="15"/>
      <c r="C395" s="123" t="s">
        <v>397</v>
      </c>
      <c r="D395" s="25"/>
      <c r="E395" s="47"/>
      <c r="F395" s="154">
        <v>31000</v>
      </c>
      <c r="G395" s="154">
        <v>44400</v>
      </c>
      <c r="H395" s="154">
        <v>41534.09</v>
      </c>
      <c r="I395" s="199">
        <f t="shared" si="18"/>
        <v>0.9354524774774774</v>
      </c>
      <c r="J395" s="129">
        <f t="shared" si="19"/>
        <v>0.001307137583343428</v>
      </c>
    </row>
    <row r="396" spans="1:10" ht="12.75">
      <c r="A396" s="178">
        <f t="shared" si="20"/>
        <v>323</v>
      </c>
      <c r="B396" s="15">
        <v>4740</v>
      </c>
      <c r="C396" s="123" t="s">
        <v>354</v>
      </c>
      <c r="D396" s="25"/>
      <c r="E396" s="47"/>
      <c r="F396" s="154"/>
      <c r="G396" s="154"/>
      <c r="H396" s="154"/>
      <c r="I396" s="199"/>
      <c r="J396" s="129"/>
    </row>
    <row r="397" spans="1:10" ht="12.75">
      <c r="A397" s="178">
        <f t="shared" si="20"/>
        <v>324</v>
      </c>
      <c r="B397" s="15"/>
      <c r="C397" s="123" t="s">
        <v>355</v>
      </c>
      <c r="D397" s="25"/>
      <c r="E397" s="47"/>
      <c r="F397" s="154">
        <v>6500</v>
      </c>
      <c r="G397" s="154">
        <v>7500</v>
      </c>
      <c r="H397" s="154">
        <v>7333.98</v>
      </c>
      <c r="I397" s="199">
        <f t="shared" si="18"/>
        <v>0.977864</v>
      </c>
      <c r="J397" s="129">
        <f t="shared" si="19"/>
        <v>0.00023081090481310735</v>
      </c>
    </row>
    <row r="398" spans="1:10" ht="12.75">
      <c r="A398" s="178">
        <f t="shared" si="20"/>
        <v>325</v>
      </c>
      <c r="B398" s="15">
        <v>4750</v>
      </c>
      <c r="C398" s="123" t="s">
        <v>356</v>
      </c>
      <c r="D398" s="25"/>
      <c r="E398" s="47"/>
      <c r="F398" s="154"/>
      <c r="G398" s="154"/>
      <c r="H398" s="154"/>
      <c r="I398" s="199"/>
      <c r="J398" s="129"/>
    </row>
    <row r="399" spans="1:10" ht="12.75">
      <c r="A399" s="178">
        <f t="shared" si="20"/>
        <v>326</v>
      </c>
      <c r="B399" s="15"/>
      <c r="C399" s="123" t="s">
        <v>357</v>
      </c>
      <c r="D399" s="25"/>
      <c r="E399" s="47"/>
      <c r="F399" s="154">
        <f>SUM(F401:F402)</f>
        <v>63790</v>
      </c>
      <c r="G399" s="154">
        <f>SUM(G401:G402)</f>
        <v>59590</v>
      </c>
      <c r="H399" s="154">
        <f>SUM(H401:H402)</f>
        <v>45688.25</v>
      </c>
      <c r="I399" s="199">
        <f t="shared" si="18"/>
        <v>0.7667100184594731</v>
      </c>
      <c r="J399" s="129">
        <f t="shared" si="19"/>
        <v>0.001437874976728523</v>
      </c>
    </row>
    <row r="400" spans="1:10" ht="12.75">
      <c r="A400" s="178">
        <f t="shared" si="20"/>
        <v>327</v>
      </c>
      <c r="B400" s="15"/>
      <c r="C400" s="123" t="s">
        <v>15</v>
      </c>
      <c r="D400" s="25"/>
      <c r="E400" s="47"/>
      <c r="F400" s="154"/>
      <c r="G400" s="154"/>
      <c r="H400" s="154"/>
      <c r="I400" s="199"/>
      <c r="J400" s="129"/>
    </row>
    <row r="401" spans="1:10" ht="12.75">
      <c r="A401" s="178">
        <f t="shared" si="20"/>
        <v>328</v>
      </c>
      <c r="B401" s="15"/>
      <c r="C401" s="123" t="s">
        <v>549</v>
      </c>
      <c r="D401" s="25"/>
      <c r="E401" s="47"/>
      <c r="F401" s="154">
        <v>21790</v>
      </c>
      <c r="G401" s="154">
        <v>17590</v>
      </c>
      <c r="H401" s="154">
        <v>6589.28</v>
      </c>
      <c r="I401" s="199">
        <f t="shared" si="18"/>
        <v>0.3746037521318931</v>
      </c>
      <c r="J401" s="129">
        <f t="shared" si="19"/>
        <v>0.0002073741241272695</v>
      </c>
    </row>
    <row r="402" spans="1:10" ht="12.75">
      <c r="A402" s="178">
        <f t="shared" si="20"/>
        <v>329</v>
      </c>
      <c r="B402" s="15"/>
      <c r="C402" s="123" t="s">
        <v>391</v>
      </c>
      <c r="D402" s="25"/>
      <c r="E402" s="47"/>
      <c r="F402" s="154">
        <v>42000</v>
      </c>
      <c r="G402" s="154">
        <v>42000</v>
      </c>
      <c r="H402" s="154">
        <v>39098.97</v>
      </c>
      <c r="I402" s="199">
        <f t="shared" si="18"/>
        <v>0.9309278571428572</v>
      </c>
      <c r="J402" s="129">
        <f t="shared" si="19"/>
        <v>0.0012305008526012535</v>
      </c>
    </row>
    <row r="403" spans="1:10" ht="12.75">
      <c r="A403" s="178">
        <f t="shared" si="20"/>
        <v>330</v>
      </c>
      <c r="B403" s="15">
        <v>6050</v>
      </c>
      <c r="C403" s="123" t="s">
        <v>212</v>
      </c>
      <c r="D403" s="25"/>
      <c r="E403" s="47"/>
      <c r="F403" s="154">
        <f>SUM(F405:F409)</f>
        <v>99000</v>
      </c>
      <c r="G403" s="154">
        <f>SUM(G405:G409)</f>
        <v>165550</v>
      </c>
      <c r="H403" s="154">
        <f>SUM(H405:H409)</f>
        <v>105761.63</v>
      </c>
      <c r="I403" s="199">
        <f t="shared" si="18"/>
        <v>0.6388500755058895</v>
      </c>
      <c r="J403" s="129">
        <f t="shared" si="19"/>
        <v>0.0033284706959671394</v>
      </c>
    </row>
    <row r="404" spans="1:10" ht="12.75">
      <c r="A404" s="178">
        <f t="shared" si="20"/>
        <v>331</v>
      </c>
      <c r="B404" s="15"/>
      <c r="C404" s="123" t="s">
        <v>15</v>
      </c>
      <c r="D404" s="25"/>
      <c r="E404" s="47"/>
      <c r="F404" s="154"/>
      <c r="G404" s="154"/>
      <c r="H404" s="154"/>
      <c r="I404" s="199"/>
      <c r="J404" s="129"/>
    </row>
    <row r="405" spans="1:10" ht="12.75">
      <c r="A405" s="178">
        <f t="shared" si="20"/>
        <v>332</v>
      </c>
      <c r="B405" s="15"/>
      <c r="C405" s="123" t="s">
        <v>358</v>
      </c>
      <c r="D405" s="25"/>
      <c r="E405" s="47"/>
      <c r="F405" s="154">
        <v>4000</v>
      </c>
      <c r="G405" s="154">
        <v>4000</v>
      </c>
      <c r="H405" s="154">
        <v>0</v>
      </c>
      <c r="I405" s="199">
        <f t="shared" si="18"/>
        <v>0</v>
      </c>
      <c r="J405" s="129">
        <f t="shared" si="19"/>
        <v>0</v>
      </c>
    </row>
    <row r="406" spans="1:10" ht="12.75">
      <c r="A406" s="178">
        <f t="shared" si="20"/>
        <v>333</v>
      </c>
      <c r="B406" s="15"/>
      <c r="C406" s="123" t="s">
        <v>412</v>
      </c>
      <c r="D406" s="25"/>
      <c r="E406" s="47"/>
      <c r="F406" s="154">
        <v>45000</v>
      </c>
      <c r="G406" s="154">
        <v>25550</v>
      </c>
      <c r="H406" s="154">
        <v>25142.37</v>
      </c>
      <c r="I406" s="199">
        <f t="shared" si="18"/>
        <v>0.9840457925636007</v>
      </c>
      <c r="J406" s="129">
        <f t="shared" si="19"/>
        <v>0.0007912665658818167</v>
      </c>
    </row>
    <row r="407" spans="1:10" ht="12.75">
      <c r="A407" s="178">
        <f t="shared" si="20"/>
        <v>334</v>
      </c>
      <c r="B407" s="15"/>
      <c r="C407" s="123" t="s">
        <v>636</v>
      </c>
      <c r="D407" s="25"/>
      <c r="E407" s="47"/>
      <c r="F407" s="154">
        <v>0</v>
      </c>
      <c r="G407" s="154">
        <v>28600</v>
      </c>
      <c r="H407" s="154">
        <v>28224.46</v>
      </c>
      <c r="I407" s="199">
        <f t="shared" si="18"/>
        <v>0.9868692307692307</v>
      </c>
      <c r="J407" s="129">
        <f t="shared" si="19"/>
        <v>0.000888264373568152</v>
      </c>
    </row>
    <row r="408" spans="1:10" ht="12.75">
      <c r="A408" s="178">
        <f t="shared" si="20"/>
        <v>335</v>
      </c>
      <c r="B408" s="15"/>
      <c r="C408" s="123" t="s">
        <v>637</v>
      </c>
      <c r="D408" s="25"/>
      <c r="E408" s="47"/>
      <c r="F408" s="154">
        <v>0</v>
      </c>
      <c r="G408" s="154">
        <v>55000</v>
      </c>
      <c r="H408" s="154">
        <v>0</v>
      </c>
      <c r="I408" s="199">
        <f t="shared" si="18"/>
        <v>0</v>
      </c>
      <c r="J408" s="129">
        <f t="shared" si="19"/>
        <v>0</v>
      </c>
    </row>
    <row r="409" spans="1:10" ht="12.75">
      <c r="A409" s="178">
        <f t="shared" si="20"/>
        <v>336</v>
      </c>
      <c r="B409" s="15"/>
      <c r="C409" s="123" t="s">
        <v>635</v>
      </c>
      <c r="D409" s="25"/>
      <c r="E409" s="47"/>
      <c r="F409" s="154">
        <v>50000</v>
      </c>
      <c r="G409" s="154">
        <v>52400</v>
      </c>
      <c r="H409" s="154">
        <v>52394.8</v>
      </c>
      <c r="I409" s="199">
        <f t="shared" si="18"/>
        <v>0.9999007633587786</v>
      </c>
      <c r="J409" s="129">
        <f aca="true" t="shared" si="21" ref="J409:J454">H409/H$54</f>
        <v>0.0016489397565171706</v>
      </c>
    </row>
    <row r="410" spans="1:10" ht="12.75">
      <c r="A410" s="178">
        <f t="shared" si="20"/>
        <v>337</v>
      </c>
      <c r="B410" s="15">
        <v>6060</v>
      </c>
      <c r="C410" s="123" t="s">
        <v>173</v>
      </c>
      <c r="D410" s="25"/>
      <c r="E410" s="46" t="e">
        <f>SUM(#REF!)</f>
        <v>#REF!</v>
      </c>
      <c r="F410" s="28">
        <f>SUM(F412:F417)</f>
        <v>19500</v>
      </c>
      <c r="G410" s="28">
        <f>SUM(G412:G417)</f>
        <v>55150</v>
      </c>
      <c r="H410" s="28">
        <f>SUM(H412:H417)</f>
        <v>54615.14</v>
      </c>
      <c r="I410" s="199">
        <f t="shared" si="18"/>
        <v>0.990301722574796</v>
      </c>
      <c r="J410" s="129">
        <f t="shared" si="21"/>
        <v>0.0017188170515728884</v>
      </c>
    </row>
    <row r="411" spans="1:10" ht="12.75">
      <c r="A411" s="178">
        <f t="shared" si="20"/>
        <v>338</v>
      </c>
      <c r="B411" s="15"/>
      <c r="C411" s="123" t="s">
        <v>15</v>
      </c>
      <c r="D411" s="25"/>
      <c r="E411" s="47"/>
      <c r="F411" s="154"/>
      <c r="G411" s="154"/>
      <c r="H411" s="154"/>
      <c r="I411" s="199"/>
      <c r="J411" s="129"/>
    </row>
    <row r="412" spans="1:10" ht="12.75">
      <c r="A412" s="178">
        <f t="shared" si="20"/>
        <v>339</v>
      </c>
      <c r="B412" s="15"/>
      <c r="C412" s="123" t="s">
        <v>413</v>
      </c>
      <c r="D412" s="25"/>
      <c r="E412" s="47"/>
      <c r="F412" s="154">
        <v>4500</v>
      </c>
      <c r="G412" s="154">
        <v>0</v>
      </c>
      <c r="H412" s="154">
        <v>0</v>
      </c>
      <c r="I412" s="199"/>
      <c r="J412" s="129">
        <f t="shared" si="21"/>
        <v>0</v>
      </c>
    </row>
    <row r="413" spans="1:10" ht="12.75">
      <c r="A413" s="178">
        <f t="shared" si="20"/>
        <v>340</v>
      </c>
      <c r="B413" s="15"/>
      <c r="C413" s="123" t="s">
        <v>552</v>
      </c>
      <c r="D413" s="25"/>
      <c r="E413" s="47"/>
      <c r="F413" s="154">
        <v>0</v>
      </c>
      <c r="G413" s="154">
        <v>24400</v>
      </c>
      <c r="H413" s="154">
        <v>23966.3</v>
      </c>
      <c r="I413" s="199">
        <f>H413/G413</f>
        <v>0.9822254098360655</v>
      </c>
      <c r="J413" s="129">
        <f t="shared" si="21"/>
        <v>0.0007542539505183235</v>
      </c>
    </row>
    <row r="414" spans="1:10" ht="12.75">
      <c r="A414" s="178">
        <f t="shared" si="20"/>
        <v>341</v>
      </c>
      <c r="B414" s="15"/>
      <c r="C414" s="123" t="s">
        <v>493</v>
      </c>
      <c r="D414" s="25"/>
      <c r="E414" s="47"/>
      <c r="F414" s="154">
        <v>15000</v>
      </c>
      <c r="G414" s="154">
        <v>10730</v>
      </c>
      <c r="H414" s="154">
        <v>10687.2</v>
      </c>
      <c r="I414" s="199">
        <f>H414/G414</f>
        <v>0.9960111835973906</v>
      </c>
      <c r="J414" s="129">
        <f t="shared" si="21"/>
        <v>0.00033634156377828153</v>
      </c>
    </row>
    <row r="415" spans="1:10" ht="12.75">
      <c r="A415" s="178">
        <f t="shared" si="20"/>
        <v>342</v>
      </c>
      <c r="B415" s="15"/>
      <c r="C415" s="123" t="s">
        <v>550</v>
      </c>
      <c r="D415" s="25"/>
      <c r="E415" s="47"/>
      <c r="F415" s="154">
        <v>0</v>
      </c>
      <c r="G415" s="154">
        <v>3750</v>
      </c>
      <c r="H415" s="154">
        <v>3747.84</v>
      </c>
      <c r="I415" s="199">
        <f>H415/G415</f>
        <v>0.9994240000000001</v>
      </c>
      <c r="J415" s="129">
        <f t="shared" si="21"/>
        <v>0.00011794991825649324</v>
      </c>
    </row>
    <row r="416" spans="1:10" ht="12.75">
      <c r="A416" s="178">
        <f t="shared" si="20"/>
        <v>343</v>
      </c>
      <c r="B416" s="15"/>
      <c r="C416" s="123" t="s">
        <v>553</v>
      </c>
      <c r="D416" s="25"/>
      <c r="E416" s="47"/>
      <c r="F416" s="154">
        <v>0</v>
      </c>
      <c r="G416" s="154">
        <v>12000</v>
      </c>
      <c r="H416" s="154">
        <v>11943.8</v>
      </c>
      <c r="I416" s="199">
        <f>H416/G416</f>
        <v>0.9953166666666666</v>
      </c>
      <c r="J416" s="129">
        <f t="shared" si="21"/>
        <v>0.00037588857413120726</v>
      </c>
    </row>
    <row r="417" spans="1:10" ht="12.75">
      <c r="A417" s="178">
        <f t="shared" si="20"/>
        <v>344</v>
      </c>
      <c r="B417" s="15"/>
      <c r="C417" s="123" t="s">
        <v>551</v>
      </c>
      <c r="D417" s="25"/>
      <c r="E417" s="47"/>
      <c r="F417" s="154">
        <v>0</v>
      </c>
      <c r="G417" s="154">
        <v>4270</v>
      </c>
      <c r="H417" s="154">
        <v>4270</v>
      </c>
      <c r="I417" s="199">
        <f>H417/G417</f>
        <v>1</v>
      </c>
      <c r="J417" s="129">
        <f t="shared" si="21"/>
        <v>0.0001343830448885828</v>
      </c>
    </row>
    <row r="418" spans="1:10" ht="12.75">
      <c r="A418" s="178"/>
      <c r="B418" s="15"/>
      <c r="C418" s="123"/>
      <c r="D418" s="25"/>
      <c r="E418" s="47"/>
      <c r="F418" s="154"/>
      <c r="G418" s="154"/>
      <c r="H418" s="154"/>
      <c r="I418" s="199"/>
      <c r="J418" s="129"/>
    </row>
    <row r="419" spans="1:10" ht="12.75">
      <c r="A419" s="178"/>
      <c r="B419" s="15"/>
      <c r="C419" s="123"/>
      <c r="D419" s="25"/>
      <c r="E419" s="47"/>
      <c r="F419" s="154"/>
      <c r="G419" s="154"/>
      <c r="H419" s="154"/>
      <c r="I419" s="199"/>
      <c r="J419" s="129"/>
    </row>
    <row r="420" spans="1:10" s="74" customFormat="1" ht="12.75">
      <c r="A420" s="178">
        <f>A417+1</f>
        <v>345</v>
      </c>
      <c r="B420" s="76">
        <v>75045</v>
      </c>
      <c r="C420" s="124" t="s">
        <v>97</v>
      </c>
      <c r="D420" s="64"/>
      <c r="E420" s="65">
        <f>E421</f>
        <v>500</v>
      </c>
      <c r="F420" s="64">
        <f>SUM(F421:F422)</f>
        <v>600</v>
      </c>
      <c r="G420" s="64">
        <f>SUM(G421:G422)</f>
        <v>600</v>
      </c>
      <c r="H420" s="64">
        <f>SUM(H421:H422)</f>
        <v>222.95</v>
      </c>
      <c r="I420" s="199">
        <f>H420/G420</f>
        <v>0.3715833333333333</v>
      </c>
      <c r="J420" s="129">
        <f t="shared" si="21"/>
        <v>7.016557343772724E-06</v>
      </c>
    </row>
    <row r="421" spans="1:10" s="61" customFormat="1" ht="12.75">
      <c r="A421" s="178">
        <f t="shared" si="20"/>
        <v>346</v>
      </c>
      <c r="B421" s="82">
        <v>4300</v>
      </c>
      <c r="C421" s="123" t="s">
        <v>151</v>
      </c>
      <c r="D421" s="85"/>
      <c r="E421" s="84">
        <v>500</v>
      </c>
      <c r="F421" s="160">
        <v>500</v>
      </c>
      <c r="G421" s="160">
        <v>500</v>
      </c>
      <c r="H421" s="160">
        <v>222.95</v>
      </c>
      <c r="I421" s="199">
        <f>H421/G421</f>
        <v>0.44589999999999996</v>
      </c>
      <c r="J421" s="129">
        <f t="shared" si="21"/>
        <v>7.016557343772724E-06</v>
      </c>
    </row>
    <row r="422" spans="1:10" s="61" customFormat="1" ht="12.75">
      <c r="A422" s="178">
        <f t="shared" si="20"/>
        <v>347</v>
      </c>
      <c r="B422" s="82">
        <v>4410</v>
      </c>
      <c r="C422" s="123" t="s">
        <v>68</v>
      </c>
      <c r="D422" s="85"/>
      <c r="E422" s="84"/>
      <c r="F422" s="160">
        <v>100</v>
      </c>
      <c r="G422" s="160">
        <v>100</v>
      </c>
      <c r="H422" s="160">
        <v>0</v>
      </c>
      <c r="I422" s="199">
        <f>H422/G422</f>
        <v>0</v>
      </c>
      <c r="J422" s="129">
        <f t="shared" si="21"/>
        <v>0</v>
      </c>
    </row>
    <row r="423" spans="1:10" s="74" customFormat="1" ht="12.75">
      <c r="A423" s="178">
        <f t="shared" si="20"/>
        <v>348</v>
      </c>
      <c r="B423" s="76">
        <v>75095</v>
      </c>
      <c r="C423" s="124" t="s">
        <v>25</v>
      </c>
      <c r="D423" s="64"/>
      <c r="E423" s="65" t="e">
        <f>#REF!+E436+E441+E442+E458</f>
        <v>#REF!</v>
      </c>
      <c r="F423" s="64">
        <f>F425+F433+F435+F436+F441+F442+F443+F444+F450+F451+F457+F459+F460+F465</f>
        <v>304532</v>
      </c>
      <c r="G423" s="64">
        <f>G425+G433+G435+G436+G441+G442+G443+G444+G450+G451+G457+G459+G460+G465</f>
        <v>387717</v>
      </c>
      <c r="H423" s="64">
        <f>H425+H433+H435+H436+H441+H442+H443+H444+H450+H451+H457+H459+H460+H465</f>
        <v>310753.1099999999</v>
      </c>
      <c r="I423" s="199">
        <f>H423/G423</f>
        <v>0.8014946726607292</v>
      </c>
      <c r="J423" s="129">
        <f t="shared" si="21"/>
        <v>0.009779847571521475</v>
      </c>
    </row>
    <row r="424" spans="1:10" ht="12.75">
      <c r="A424" s="178">
        <f t="shared" si="20"/>
        <v>349</v>
      </c>
      <c r="B424" s="15">
        <v>2900</v>
      </c>
      <c r="C424" s="123" t="s">
        <v>312</v>
      </c>
      <c r="D424" s="25"/>
      <c r="E424" s="47"/>
      <c r="F424" s="154"/>
      <c r="G424" s="154"/>
      <c r="H424" s="154"/>
      <c r="I424" s="199"/>
      <c r="J424" s="129"/>
    </row>
    <row r="425" spans="1:10" ht="12.75">
      <c r="A425" s="178">
        <f t="shared" si="20"/>
        <v>350</v>
      </c>
      <c r="B425" s="15"/>
      <c r="C425" s="123" t="s">
        <v>313</v>
      </c>
      <c r="D425" s="25"/>
      <c r="E425" s="47"/>
      <c r="F425" s="154">
        <f>SUM(F427:F431)</f>
        <v>136030</v>
      </c>
      <c r="G425" s="154">
        <f>SUM(G427:G431)</f>
        <v>161530</v>
      </c>
      <c r="H425" s="154">
        <f>SUM(H427:H431)</f>
        <v>146667.41</v>
      </c>
      <c r="I425" s="199">
        <f>H425/G425</f>
        <v>0.907988670835139</v>
      </c>
      <c r="J425" s="129">
        <f t="shared" si="21"/>
        <v>0.004615834459419713</v>
      </c>
    </row>
    <row r="426" spans="1:10" ht="12.75">
      <c r="A426" s="178">
        <f t="shared" si="20"/>
        <v>351</v>
      </c>
      <c r="B426" s="15"/>
      <c r="C426" s="123" t="s">
        <v>15</v>
      </c>
      <c r="D426" s="25"/>
      <c r="E426" s="47"/>
      <c r="I426" s="199"/>
      <c r="J426" s="129"/>
    </row>
    <row r="427" spans="1:10" ht="12.75">
      <c r="A427" s="178">
        <f t="shared" si="20"/>
        <v>352</v>
      </c>
      <c r="B427" s="15"/>
      <c r="C427" s="123" t="s">
        <v>314</v>
      </c>
      <c r="D427" s="25"/>
      <c r="E427" s="47"/>
      <c r="F427" s="154">
        <v>127830</v>
      </c>
      <c r="G427" s="154">
        <v>142330</v>
      </c>
      <c r="H427" s="154">
        <v>127830</v>
      </c>
      <c r="I427" s="199">
        <f>H427/G427</f>
        <v>0.8981240778472563</v>
      </c>
      <c r="J427" s="129">
        <f t="shared" si="21"/>
        <v>0.00402299405810481</v>
      </c>
    </row>
    <row r="428" spans="1:10" ht="12.75">
      <c r="A428" s="178">
        <f t="shared" si="20"/>
        <v>353</v>
      </c>
      <c r="B428" s="15"/>
      <c r="C428" s="123" t="s">
        <v>65</v>
      </c>
      <c r="D428" s="25"/>
      <c r="E428" s="47"/>
      <c r="F428" s="154">
        <v>3100</v>
      </c>
      <c r="G428" s="154">
        <v>3100</v>
      </c>
      <c r="H428" s="154">
        <v>3000</v>
      </c>
      <c r="I428" s="199">
        <f>H428/G428</f>
        <v>0.967741935483871</v>
      </c>
      <c r="J428" s="129">
        <f t="shared" si="21"/>
        <v>9.441431725193171E-05</v>
      </c>
    </row>
    <row r="429" spans="1:10" ht="12.75">
      <c r="A429" s="178">
        <f t="shared" si="20"/>
        <v>354</v>
      </c>
      <c r="B429" s="15"/>
      <c r="C429" s="126" t="s">
        <v>199</v>
      </c>
      <c r="D429" s="25"/>
      <c r="E429" s="47"/>
      <c r="F429" s="154">
        <v>4000</v>
      </c>
      <c r="G429" s="154">
        <v>4000</v>
      </c>
      <c r="H429" s="154">
        <v>3878.4</v>
      </c>
      <c r="I429" s="199">
        <f>H429/G429</f>
        <v>0.9696</v>
      </c>
      <c r="J429" s="129">
        <f t="shared" si="21"/>
        <v>0.00012205882934329731</v>
      </c>
    </row>
    <row r="430" spans="1:10" ht="12.75">
      <c r="A430" s="178">
        <f t="shared" si="20"/>
        <v>355</v>
      </c>
      <c r="B430" s="15"/>
      <c r="C430" s="126" t="s">
        <v>554</v>
      </c>
      <c r="D430" s="25"/>
      <c r="E430" s="47"/>
      <c r="F430" s="154">
        <v>0</v>
      </c>
      <c r="G430" s="154">
        <v>11000</v>
      </c>
      <c r="H430" s="154">
        <v>10877.25</v>
      </c>
      <c r="I430" s="199">
        <f>H430/G430</f>
        <v>0.988840909090909</v>
      </c>
      <c r="J430" s="129">
        <f t="shared" si="21"/>
        <v>0.00034232271077619137</v>
      </c>
    </row>
    <row r="431" spans="1:10" ht="12.75">
      <c r="A431" s="178">
        <f t="shared" si="20"/>
        <v>356</v>
      </c>
      <c r="B431" s="15"/>
      <c r="C431" s="123" t="s">
        <v>277</v>
      </c>
      <c r="D431" s="25"/>
      <c r="E431" s="47"/>
      <c r="F431" s="154">
        <v>1100</v>
      </c>
      <c r="G431" s="154">
        <v>1100</v>
      </c>
      <c r="H431" s="154">
        <v>1081.76</v>
      </c>
      <c r="I431" s="199">
        <f>H431/G431</f>
        <v>0.9834181818181819</v>
      </c>
      <c r="J431" s="129">
        <f t="shared" si="21"/>
        <v>3.4044543943483213E-05</v>
      </c>
    </row>
    <row r="432" spans="1:10" ht="12.75">
      <c r="A432" s="178">
        <f t="shared" si="20"/>
        <v>357</v>
      </c>
      <c r="B432" s="15">
        <v>3020</v>
      </c>
      <c r="C432" s="123" t="s">
        <v>266</v>
      </c>
      <c r="D432" s="25"/>
      <c r="E432" s="47"/>
      <c r="F432" s="154"/>
      <c r="G432" s="154"/>
      <c r="H432" s="154"/>
      <c r="I432" s="199"/>
      <c r="J432" s="129"/>
    </row>
    <row r="433" spans="1:10" ht="12.75">
      <c r="A433" s="178">
        <f t="shared" si="20"/>
        <v>358</v>
      </c>
      <c r="B433" s="15"/>
      <c r="C433" s="123" t="s">
        <v>555</v>
      </c>
      <c r="D433" s="25"/>
      <c r="E433" s="47"/>
      <c r="F433" s="154">
        <v>0</v>
      </c>
      <c r="G433" s="154">
        <v>4000</v>
      </c>
      <c r="H433" s="154">
        <v>1920</v>
      </c>
      <c r="I433" s="199">
        <f>H433/G433</f>
        <v>0.48</v>
      </c>
      <c r="J433" s="129">
        <f t="shared" si="21"/>
        <v>6.042516304123629E-05</v>
      </c>
    </row>
    <row r="434" spans="1:10" ht="12.75">
      <c r="A434" s="178">
        <f t="shared" si="20"/>
        <v>359</v>
      </c>
      <c r="B434" s="15">
        <v>4010</v>
      </c>
      <c r="C434" s="123" t="s">
        <v>27</v>
      </c>
      <c r="D434" s="25"/>
      <c r="E434" s="47"/>
      <c r="F434" s="154"/>
      <c r="G434" s="154"/>
      <c r="H434" s="154"/>
      <c r="I434" s="199"/>
      <c r="J434" s="129"/>
    </row>
    <row r="435" spans="1:10" ht="12.75">
      <c r="A435" s="178">
        <f t="shared" si="20"/>
        <v>360</v>
      </c>
      <c r="B435" s="15"/>
      <c r="C435" s="123" t="s">
        <v>556</v>
      </c>
      <c r="D435" s="25"/>
      <c r="E435" s="47"/>
      <c r="F435" s="154">
        <v>0</v>
      </c>
      <c r="G435" s="154">
        <v>18900</v>
      </c>
      <c r="H435" s="154">
        <v>278.12</v>
      </c>
      <c r="I435" s="199">
        <f>H435/G435</f>
        <v>0.014715343915343916</v>
      </c>
      <c r="J435" s="129">
        <f t="shared" si="21"/>
        <v>8.752836638035749E-06</v>
      </c>
    </row>
    <row r="436" spans="1:10" ht="12.75">
      <c r="A436" s="178">
        <f>A435+1</f>
        <v>361</v>
      </c>
      <c r="B436" s="15">
        <v>4100</v>
      </c>
      <c r="C436" s="123" t="s">
        <v>156</v>
      </c>
      <c r="D436" s="25"/>
      <c r="E436" s="52">
        <f>SUM(E438:E440)</f>
        <v>80200</v>
      </c>
      <c r="F436" s="165">
        <f>SUM(F438:F440)</f>
        <v>74500</v>
      </c>
      <c r="G436" s="165">
        <f>SUM(G438:G440)</f>
        <v>93489</v>
      </c>
      <c r="H436" s="165">
        <f>SUM(H438:H440)</f>
        <v>86814.01999999999</v>
      </c>
      <c r="I436" s="199">
        <f>H436/G436</f>
        <v>0.9286014397415737</v>
      </c>
      <c r="J436" s="129">
        <f t="shared" si="21"/>
        <v>0.002732162142065181</v>
      </c>
    </row>
    <row r="437" spans="1:10" ht="12.75">
      <c r="A437" s="178">
        <f aca="true" t="shared" si="22" ref="A437:A472">A436+1</f>
        <v>362</v>
      </c>
      <c r="B437" s="15"/>
      <c r="C437" s="123" t="s">
        <v>15</v>
      </c>
      <c r="D437" s="25"/>
      <c r="E437" s="47"/>
      <c r="F437" s="154"/>
      <c r="G437" s="154"/>
      <c r="H437" s="154"/>
      <c r="I437" s="199"/>
      <c r="J437" s="129"/>
    </row>
    <row r="438" spans="1:10" ht="12.75">
      <c r="A438" s="178">
        <f t="shared" si="22"/>
        <v>363</v>
      </c>
      <c r="B438" s="15"/>
      <c r="C438" s="123" t="s">
        <v>98</v>
      </c>
      <c r="D438" s="25"/>
      <c r="E438" s="47">
        <v>50000</v>
      </c>
      <c r="F438" s="154">
        <v>58000</v>
      </c>
      <c r="G438" s="154">
        <v>61989</v>
      </c>
      <c r="H438" s="154">
        <v>56422.02</v>
      </c>
      <c r="I438" s="199">
        <f aca="true" t="shared" si="23" ref="I438:I444">H438/G438</f>
        <v>0.9101940666892513</v>
      </c>
      <c r="J438" s="129">
        <f t="shared" si="21"/>
        <v>0.0017756821654249452</v>
      </c>
    </row>
    <row r="439" spans="1:10" ht="12.75">
      <c r="A439" s="178">
        <f t="shared" si="22"/>
        <v>364</v>
      </c>
      <c r="B439" s="15"/>
      <c r="C439" s="123" t="s">
        <v>99</v>
      </c>
      <c r="D439" s="25"/>
      <c r="E439" s="47">
        <v>26700</v>
      </c>
      <c r="F439" s="154">
        <v>15000</v>
      </c>
      <c r="G439" s="154">
        <v>30000</v>
      </c>
      <c r="H439" s="154">
        <v>29555</v>
      </c>
      <c r="I439" s="199">
        <f t="shared" si="23"/>
        <v>0.9851666666666666</v>
      </c>
      <c r="J439" s="129">
        <f t="shared" si="21"/>
        <v>0.0009301383821269472</v>
      </c>
    </row>
    <row r="440" spans="1:10" ht="12.75">
      <c r="A440" s="178">
        <f t="shared" si="22"/>
        <v>365</v>
      </c>
      <c r="B440" s="15"/>
      <c r="C440" s="123" t="s">
        <v>100</v>
      </c>
      <c r="D440" s="25"/>
      <c r="E440" s="47">
        <v>3500</v>
      </c>
      <c r="F440" s="154">
        <v>1500</v>
      </c>
      <c r="G440" s="154">
        <v>1500</v>
      </c>
      <c r="H440" s="154">
        <v>837</v>
      </c>
      <c r="I440" s="199">
        <f t="shared" si="23"/>
        <v>0.558</v>
      </c>
      <c r="J440" s="129">
        <f t="shared" si="21"/>
        <v>2.6341594513288944E-05</v>
      </c>
    </row>
    <row r="441" spans="1:10" ht="12.75">
      <c r="A441" s="178">
        <f t="shared" si="22"/>
        <v>366</v>
      </c>
      <c r="B441" s="15">
        <v>4110</v>
      </c>
      <c r="C441" s="123" t="s">
        <v>32</v>
      </c>
      <c r="D441" s="25"/>
      <c r="E441" s="47">
        <v>4300</v>
      </c>
      <c r="F441" s="154">
        <v>7150</v>
      </c>
      <c r="G441" s="154">
        <v>12840</v>
      </c>
      <c r="H441" s="154">
        <v>8547.53</v>
      </c>
      <c r="I441" s="199">
        <f t="shared" si="23"/>
        <v>0.6656954828660436</v>
      </c>
      <c r="J441" s="129">
        <f t="shared" si="21"/>
        <v>0.00026900306971346793</v>
      </c>
    </row>
    <row r="442" spans="1:10" ht="12.75">
      <c r="A442" s="178">
        <f t="shared" si="22"/>
        <v>367</v>
      </c>
      <c r="B442" s="15">
        <v>4120</v>
      </c>
      <c r="C442" s="123" t="s">
        <v>33</v>
      </c>
      <c r="D442" s="25"/>
      <c r="E442" s="47">
        <v>700</v>
      </c>
      <c r="F442" s="154">
        <v>1920</v>
      </c>
      <c r="G442" s="154">
        <v>4150</v>
      </c>
      <c r="H442" s="154">
        <v>2706.34</v>
      </c>
      <c r="I442" s="199">
        <f t="shared" si="23"/>
        <v>0.6521301204819278</v>
      </c>
      <c r="J442" s="129">
        <f t="shared" si="21"/>
        <v>8.517241445053096E-05</v>
      </c>
    </row>
    <row r="443" spans="1:10" ht="12.75">
      <c r="A443" s="178">
        <f t="shared" si="22"/>
        <v>368</v>
      </c>
      <c r="B443" s="15">
        <v>4170</v>
      </c>
      <c r="C443" s="123" t="s">
        <v>258</v>
      </c>
      <c r="D443" s="25"/>
      <c r="E443" s="47"/>
      <c r="F443" s="154">
        <v>0</v>
      </c>
      <c r="G443" s="154">
        <v>2000</v>
      </c>
      <c r="H443" s="154">
        <v>1500</v>
      </c>
      <c r="I443" s="199">
        <f t="shared" si="23"/>
        <v>0.75</v>
      </c>
      <c r="J443" s="129">
        <f t="shared" si="21"/>
        <v>4.7207158625965855E-05</v>
      </c>
    </row>
    <row r="444" spans="1:10" ht="12.75">
      <c r="A444" s="178">
        <f t="shared" si="22"/>
        <v>369</v>
      </c>
      <c r="B444" s="15">
        <v>4260</v>
      </c>
      <c r="C444" s="82" t="s">
        <v>220</v>
      </c>
      <c r="D444" s="25"/>
      <c r="E444" s="47"/>
      <c r="F444" s="154">
        <f>SUM(F446:F448)</f>
        <v>77500</v>
      </c>
      <c r="G444" s="154">
        <f>SUM(G446:G448)</f>
        <v>77500</v>
      </c>
      <c r="H444" s="154">
        <f>SUM(H446:H448)</f>
        <v>51305.869999999995</v>
      </c>
      <c r="I444" s="199">
        <f t="shared" si="23"/>
        <v>0.6620112258064516</v>
      </c>
      <c r="J444" s="129">
        <f t="shared" si="21"/>
        <v>0.001614669562355455</v>
      </c>
    </row>
    <row r="445" spans="1:10" ht="12.75">
      <c r="A445" s="178">
        <f t="shared" si="22"/>
        <v>370</v>
      </c>
      <c r="B445" s="15"/>
      <c r="C445" s="82" t="s">
        <v>15</v>
      </c>
      <c r="D445" s="25"/>
      <c r="E445" s="47"/>
      <c r="F445" s="154"/>
      <c r="G445" s="154"/>
      <c r="H445" s="154"/>
      <c r="I445" s="199"/>
      <c r="J445" s="129"/>
    </row>
    <row r="446" spans="1:10" ht="12.75">
      <c r="A446" s="178">
        <f t="shared" si="22"/>
        <v>371</v>
      </c>
      <c r="B446" s="15"/>
      <c r="C446" s="82" t="s">
        <v>276</v>
      </c>
      <c r="D446" s="25"/>
      <c r="E446" s="47"/>
      <c r="F446" s="154">
        <v>65000</v>
      </c>
      <c r="G446" s="154">
        <v>65000</v>
      </c>
      <c r="H446" s="154">
        <v>43261.81</v>
      </c>
      <c r="I446" s="199">
        <f>H446/G446</f>
        <v>0.6655663076923076</v>
      </c>
      <c r="J446" s="129">
        <f t="shared" si="21"/>
        <v>0.0013615114180775972</v>
      </c>
    </row>
    <row r="447" spans="1:10" ht="12.75">
      <c r="A447" s="178">
        <f t="shared" si="22"/>
        <v>372</v>
      </c>
      <c r="B447" s="15"/>
      <c r="C447" s="82" t="s">
        <v>30</v>
      </c>
      <c r="D447" s="25"/>
      <c r="E447" s="47"/>
      <c r="F447" s="154">
        <v>10000</v>
      </c>
      <c r="G447" s="154">
        <v>10000</v>
      </c>
      <c r="H447" s="154">
        <v>7410.86</v>
      </c>
      <c r="I447" s="199">
        <f>H447/G447</f>
        <v>0.741086</v>
      </c>
      <c r="J447" s="129">
        <f t="shared" si="21"/>
        <v>0.00023323042904988353</v>
      </c>
    </row>
    <row r="448" spans="1:10" ht="12.75">
      <c r="A448" s="178">
        <f t="shared" si="22"/>
        <v>373</v>
      </c>
      <c r="B448" s="15"/>
      <c r="C448" s="82" t="s">
        <v>359</v>
      </c>
      <c r="D448" s="25"/>
      <c r="E448" s="47"/>
      <c r="F448" s="154">
        <v>2500</v>
      </c>
      <c r="G448" s="154">
        <v>2500</v>
      </c>
      <c r="H448" s="154">
        <v>633.2</v>
      </c>
      <c r="I448" s="199">
        <f>H448/G448</f>
        <v>0.25328</v>
      </c>
      <c r="J448" s="129">
        <f t="shared" si="21"/>
        <v>1.9927715227974388E-05</v>
      </c>
    </row>
    <row r="449" spans="1:10" ht="12.75">
      <c r="A449" s="178">
        <f t="shared" si="22"/>
        <v>374</v>
      </c>
      <c r="B449" s="15">
        <v>4270</v>
      </c>
      <c r="C449" s="82" t="s">
        <v>608</v>
      </c>
      <c r="D449" s="25"/>
      <c r="E449" s="47"/>
      <c r="F449" s="154"/>
      <c r="G449" s="154"/>
      <c r="H449" s="154"/>
      <c r="I449" s="199"/>
      <c r="J449" s="129"/>
    </row>
    <row r="450" spans="1:10" ht="12.75">
      <c r="A450" s="178">
        <f t="shared" si="22"/>
        <v>375</v>
      </c>
      <c r="B450" s="15"/>
      <c r="C450" s="82" t="s">
        <v>557</v>
      </c>
      <c r="D450" s="25"/>
      <c r="E450" s="47"/>
      <c r="F450" s="154">
        <v>0</v>
      </c>
      <c r="G450" s="154">
        <v>3500</v>
      </c>
      <c r="H450" s="154">
        <v>3109.72</v>
      </c>
      <c r="I450" s="199">
        <f>H450/G450</f>
        <v>0.8884914285714285</v>
      </c>
      <c r="J450" s="129">
        <f t="shared" si="21"/>
        <v>9.786736354822568E-05</v>
      </c>
    </row>
    <row r="451" spans="1:10" ht="12.75">
      <c r="A451" s="178">
        <f t="shared" si="22"/>
        <v>376</v>
      </c>
      <c r="B451" s="15">
        <v>4300</v>
      </c>
      <c r="C451" s="82" t="s">
        <v>151</v>
      </c>
      <c r="D451" s="25"/>
      <c r="E451" s="47"/>
      <c r="F451" s="154">
        <f>SUM(F453:F454)</f>
        <v>6500</v>
      </c>
      <c r="G451" s="154">
        <f>SUM(G453:G454)</f>
        <v>8136</v>
      </c>
      <c r="H451" s="154">
        <f>SUM(H453:H454)</f>
        <v>6432.1</v>
      </c>
      <c r="I451" s="199">
        <f>H451/G451</f>
        <v>0.7905727630285153</v>
      </c>
      <c r="J451" s="129">
        <f t="shared" si="21"/>
        <v>0.00020242744333204998</v>
      </c>
    </row>
    <row r="452" spans="1:10" ht="12.75">
      <c r="A452" s="178">
        <f t="shared" si="22"/>
        <v>377</v>
      </c>
      <c r="B452" s="15"/>
      <c r="C452" s="82" t="s">
        <v>15</v>
      </c>
      <c r="D452" s="25"/>
      <c r="E452" s="47"/>
      <c r="F452" s="154"/>
      <c r="G452" s="154"/>
      <c r="H452" s="154"/>
      <c r="I452" s="199"/>
      <c r="J452" s="129"/>
    </row>
    <row r="453" spans="1:10" ht="12.75">
      <c r="A453" s="178">
        <f t="shared" si="22"/>
        <v>378</v>
      </c>
      <c r="B453" s="15"/>
      <c r="C453" s="82" t="s">
        <v>254</v>
      </c>
      <c r="D453" s="25"/>
      <c r="E453" s="47"/>
      <c r="F453" s="154">
        <f>3000+600+400+1300+1200</f>
        <v>6500</v>
      </c>
      <c r="G453" s="154">
        <v>3500</v>
      </c>
      <c r="H453" s="154">
        <v>1796.1</v>
      </c>
      <c r="I453" s="199">
        <f>H453/G453</f>
        <v>0.5131714285714285</v>
      </c>
      <c r="J453" s="129">
        <f t="shared" si="21"/>
        <v>5.652585173873151E-05</v>
      </c>
    </row>
    <row r="454" spans="1:10" ht="12.75">
      <c r="A454" s="178">
        <f t="shared" si="22"/>
        <v>379</v>
      </c>
      <c r="B454" s="15"/>
      <c r="C454" s="82" t="s">
        <v>638</v>
      </c>
      <c r="D454" s="25"/>
      <c r="E454" s="47"/>
      <c r="F454" s="154">
        <v>0</v>
      </c>
      <c r="G454" s="154">
        <v>4636</v>
      </c>
      <c r="H454" s="154">
        <v>4636</v>
      </c>
      <c r="I454" s="199"/>
      <c r="J454" s="129">
        <f t="shared" si="21"/>
        <v>0.00014590159159331845</v>
      </c>
    </row>
    <row r="455" spans="1:10" ht="12.75">
      <c r="A455" s="178">
        <f t="shared" si="22"/>
        <v>380</v>
      </c>
      <c r="B455" s="15">
        <v>4400</v>
      </c>
      <c r="C455" s="123" t="s">
        <v>548</v>
      </c>
      <c r="D455" s="25"/>
      <c r="E455" s="47"/>
      <c r="F455" s="154"/>
      <c r="G455" s="154"/>
      <c r="H455" s="154"/>
      <c r="I455" s="199"/>
      <c r="J455" s="129"/>
    </row>
    <row r="456" spans="1:10" ht="12.75">
      <c r="A456" s="178">
        <f t="shared" si="22"/>
        <v>381</v>
      </c>
      <c r="B456" s="15"/>
      <c r="C456" s="123" t="s">
        <v>558</v>
      </c>
      <c r="D456" s="25"/>
      <c r="E456" s="47"/>
      <c r="F456" s="154"/>
      <c r="G456" s="154"/>
      <c r="H456" s="154"/>
      <c r="I456" s="199"/>
      <c r="J456" s="129"/>
    </row>
    <row r="457" spans="1:10" ht="12.75">
      <c r="A457" s="178">
        <f t="shared" si="22"/>
        <v>382</v>
      </c>
      <c r="B457" s="15"/>
      <c r="C457" s="123" t="s">
        <v>559</v>
      </c>
      <c r="D457" s="25"/>
      <c r="E457" s="47"/>
      <c r="F457" s="154">
        <v>732</v>
      </c>
      <c r="G457" s="154">
        <v>732</v>
      </c>
      <c r="H457" s="154">
        <v>732</v>
      </c>
      <c r="I457" s="199">
        <f>H457/G457</f>
        <v>1</v>
      </c>
      <c r="J457" s="129">
        <f>H457/H$54</f>
        <v>2.3037093409471337E-05</v>
      </c>
    </row>
    <row r="458" spans="1:10" ht="12.75">
      <c r="A458" s="178">
        <f t="shared" si="22"/>
        <v>383</v>
      </c>
      <c r="B458" s="16">
        <v>4430</v>
      </c>
      <c r="C458" s="123" t="s">
        <v>40</v>
      </c>
      <c r="D458" s="25"/>
      <c r="E458" s="53" t="e">
        <f>SUM(#REF!)</f>
        <v>#REF!</v>
      </c>
      <c r="F458" s="169"/>
      <c r="G458" s="229"/>
      <c r="H458" s="229"/>
      <c r="I458" s="199"/>
      <c r="J458" s="129"/>
    </row>
    <row r="459" spans="1:10" ht="12.75">
      <c r="A459" s="178">
        <f t="shared" si="22"/>
        <v>384</v>
      </c>
      <c r="B459" s="16"/>
      <c r="C459" s="123" t="s">
        <v>360</v>
      </c>
      <c r="D459" s="25"/>
      <c r="E459" s="47"/>
      <c r="F459" s="154">
        <v>200</v>
      </c>
      <c r="G459" s="154">
        <v>200</v>
      </c>
      <c r="H459" s="154">
        <v>0</v>
      </c>
      <c r="I459" s="199">
        <f>H459/G459</f>
        <v>0</v>
      </c>
      <c r="J459" s="129">
        <f>H459/H$54</f>
        <v>0</v>
      </c>
    </row>
    <row r="460" spans="1:10" ht="12.75">
      <c r="A460" s="178">
        <f t="shared" si="22"/>
        <v>385</v>
      </c>
      <c r="B460" s="16">
        <v>4440</v>
      </c>
      <c r="C460" s="123" t="s">
        <v>639</v>
      </c>
      <c r="D460" s="25"/>
      <c r="E460" s="47"/>
      <c r="F460" s="154">
        <v>0</v>
      </c>
      <c r="G460" s="154">
        <v>740</v>
      </c>
      <c r="H460" s="154">
        <v>740</v>
      </c>
      <c r="I460" s="199">
        <f>H460/G460</f>
        <v>1</v>
      </c>
      <c r="J460" s="129">
        <f>H460/H$54</f>
        <v>2.3288864922143155E-05</v>
      </c>
    </row>
    <row r="461" spans="1:10" ht="12.75">
      <c r="A461" s="178">
        <f t="shared" si="22"/>
        <v>386</v>
      </c>
      <c r="B461" s="16">
        <v>6620</v>
      </c>
      <c r="C461" s="123" t="s">
        <v>560</v>
      </c>
      <c r="D461" s="25"/>
      <c r="E461" s="47"/>
      <c r="F461" s="154"/>
      <c r="G461" s="154"/>
      <c r="H461" s="154"/>
      <c r="I461" s="199"/>
      <c r="J461" s="129"/>
    </row>
    <row r="462" spans="1:10" ht="12.75">
      <c r="A462" s="178">
        <f t="shared" si="22"/>
        <v>387</v>
      </c>
      <c r="B462" s="16"/>
      <c r="C462" s="123" t="s">
        <v>561</v>
      </c>
      <c r="D462" s="25"/>
      <c r="E462" s="47"/>
      <c r="F462" s="154"/>
      <c r="G462" s="154"/>
      <c r="H462" s="154"/>
      <c r="I462" s="199"/>
      <c r="J462" s="129"/>
    </row>
    <row r="463" spans="1:10" ht="12.75">
      <c r="A463" s="178">
        <f t="shared" si="22"/>
        <v>388</v>
      </c>
      <c r="B463" s="16"/>
      <c r="C463" s="123" t="s">
        <v>562</v>
      </c>
      <c r="D463" s="25"/>
      <c r="E463" s="47"/>
      <c r="F463" s="154"/>
      <c r="G463" s="154"/>
      <c r="H463" s="154"/>
      <c r="I463" s="199"/>
      <c r="J463" s="129"/>
    </row>
    <row r="464" spans="1:10" ht="12.75">
      <c r="A464" s="178">
        <f t="shared" si="22"/>
        <v>389</v>
      </c>
      <c r="B464" s="16"/>
      <c r="C464" s="123" t="s">
        <v>563</v>
      </c>
      <c r="D464" s="25"/>
      <c r="E464" s="47"/>
      <c r="F464" s="154"/>
      <c r="G464" s="154"/>
      <c r="H464" s="154"/>
      <c r="I464" s="199"/>
      <c r="J464" s="129"/>
    </row>
    <row r="465" spans="1:10" ht="12.75">
      <c r="A465" s="178">
        <f t="shared" si="22"/>
        <v>390</v>
      </c>
      <c r="B465" s="16"/>
      <c r="C465" s="123" t="s">
        <v>564</v>
      </c>
      <c r="D465" s="25"/>
      <c r="E465" s="47"/>
      <c r="F465" s="154">
        <v>0</v>
      </c>
      <c r="G465" s="154">
        <v>0</v>
      </c>
      <c r="H465" s="154">
        <v>0</v>
      </c>
      <c r="I465" s="199"/>
      <c r="J465" s="129">
        <f>H465/H$54</f>
        <v>0</v>
      </c>
    </row>
    <row r="466" spans="1:10" s="71" customFormat="1" ht="12.75">
      <c r="A466" s="178">
        <f t="shared" si="22"/>
        <v>391</v>
      </c>
      <c r="B466" s="77">
        <v>751</v>
      </c>
      <c r="C466" s="78" t="s">
        <v>145</v>
      </c>
      <c r="D466" s="59"/>
      <c r="E466" s="72"/>
      <c r="F466" s="167"/>
      <c r="G466" s="167"/>
      <c r="H466" s="167"/>
      <c r="I466" s="199"/>
      <c r="J466" s="129"/>
    </row>
    <row r="467" spans="1:10" s="71" customFormat="1" ht="12.75">
      <c r="A467" s="178">
        <f t="shared" si="22"/>
        <v>392</v>
      </c>
      <c r="B467" s="78"/>
      <c r="C467" s="81" t="s">
        <v>146</v>
      </c>
      <c r="D467" s="59"/>
      <c r="E467" s="72"/>
      <c r="F467" s="167"/>
      <c r="G467" s="167"/>
      <c r="H467" s="167"/>
      <c r="I467" s="199"/>
      <c r="J467" s="129"/>
    </row>
    <row r="468" spans="1:10" s="71" customFormat="1" ht="12.75">
      <c r="A468" s="178">
        <f t="shared" si="22"/>
        <v>393</v>
      </c>
      <c r="B468" s="78"/>
      <c r="C468" s="81" t="s">
        <v>147</v>
      </c>
      <c r="D468" s="59"/>
      <c r="E468" s="60" t="e">
        <f>E470+#REF!+#REF!</f>
        <v>#REF!</v>
      </c>
      <c r="F468" s="59">
        <f>F470+F479</f>
        <v>1104</v>
      </c>
      <c r="G468" s="59">
        <f>G470+G479</f>
        <v>10123.999999999998</v>
      </c>
      <c r="H468" s="59">
        <f>H470+H479</f>
        <v>10123.999999999998</v>
      </c>
      <c r="I468" s="199">
        <f>H468/G468</f>
        <v>1</v>
      </c>
      <c r="J468" s="129">
        <f>H468/H$54</f>
        <v>0.00031861684928618546</v>
      </c>
    </row>
    <row r="469" spans="1:10" ht="12.75">
      <c r="A469" s="178">
        <f t="shared" si="22"/>
        <v>394</v>
      </c>
      <c r="B469" s="10">
        <v>75101</v>
      </c>
      <c r="C469" s="69" t="s">
        <v>148</v>
      </c>
      <c r="D469" s="25"/>
      <c r="E469" s="45"/>
      <c r="F469" s="170"/>
      <c r="G469" s="170"/>
      <c r="H469" s="170"/>
      <c r="I469" s="199"/>
      <c r="J469" s="132"/>
    </row>
    <row r="470" spans="1:10" ht="12.75">
      <c r="A470" s="178">
        <f t="shared" si="22"/>
        <v>395</v>
      </c>
      <c r="B470" s="10"/>
      <c r="C470" s="69" t="s">
        <v>149</v>
      </c>
      <c r="D470" s="25"/>
      <c r="E470" s="45">
        <f>SUM(E471:E473)</f>
        <v>176</v>
      </c>
      <c r="F470" s="26">
        <f>SUM(F471:F473)</f>
        <v>1104</v>
      </c>
      <c r="G470" s="26">
        <f>SUM(G471:G473)</f>
        <v>1104</v>
      </c>
      <c r="H470" s="26">
        <f>SUM(H471:H473)</f>
        <v>1104</v>
      </c>
      <c r="I470" s="199">
        <f>H470/G470</f>
        <v>1</v>
      </c>
      <c r="J470" s="129">
        <f>H470/H$54</f>
        <v>3.4744468748710865E-05</v>
      </c>
    </row>
    <row r="471" spans="1:10" ht="12.75">
      <c r="A471" s="178">
        <f t="shared" si="22"/>
        <v>396</v>
      </c>
      <c r="B471" s="4">
        <v>4110</v>
      </c>
      <c r="C471" s="80" t="s">
        <v>32</v>
      </c>
      <c r="D471" s="25"/>
      <c r="E471" s="47">
        <v>155</v>
      </c>
      <c r="F471" s="154">
        <v>159</v>
      </c>
      <c r="G471" s="154">
        <v>158</v>
      </c>
      <c r="H471" s="154">
        <v>158</v>
      </c>
      <c r="I471" s="199">
        <f>H471/G471</f>
        <v>1</v>
      </c>
      <c r="J471" s="129">
        <f>H471/H$54</f>
        <v>4.9724873752684034E-06</v>
      </c>
    </row>
    <row r="472" spans="1:10" ht="15" customHeight="1">
      <c r="A472" s="178">
        <f t="shared" si="22"/>
        <v>397</v>
      </c>
      <c r="B472" s="4">
        <v>4120</v>
      </c>
      <c r="C472" s="80" t="s">
        <v>33</v>
      </c>
      <c r="D472" s="25"/>
      <c r="E472" s="47">
        <v>21</v>
      </c>
      <c r="F472" s="154">
        <v>23</v>
      </c>
      <c r="G472" s="154">
        <v>22</v>
      </c>
      <c r="H472" s="154">
        <v>22</v>
      </c>
      <c r="I472" s="199">
        <f>H472/G472</f>
        <v>1</v>
      </c>
      <c r="J472" s="129">
        <f>H472/H$54</f>
        <v>6.923716598474992E-07</v>
      </c>
    </row>
    <row r="473" spans="1:10" ht="15" customHeight="1">
      <c r="A473" s="178">
        <f aca="true" t="shared" si="24" ref="A473:A513">A472+1</f>
        <v>398</v>
      </c>
      <c r="B473" s="4">
        <v>4170</v>
      </c>
      <c r="C473" s="80" t="s">
        <v>258</v>
      </c>
      <c r="D473" s="25"/>
      <c r="E473" s="47"/>
      <c r="F473" s="154">
        <v>922</v>
      </c>
      <c r="G473" s="154">
        <v>924</v>
      </c>
      <c r="H473" s="154">
        <v>924</v>
      </c>
      <c r="I473" s="199">
        <f>H473/G473</f>
        <v>1</v>
      </c>
      <c r="J473" s="129">
        <f>H473/H$54</f>
        <v>2.9079609713594965E-05</v>
      </c>
    </row>
    <row r="474" spans="1:10" ht="15" customHeight="1">
      <c r="A474" s="178">
        <f t="shared" si="24"/>
        <v>399</v>
      </c>
      <c r="B474" s="4"/>
      <c r="C474" s="80"/>
      <c r="D474" s="25"/>
      <c r="E474" s="47"/>
      <c r="F474" s="154"/>
      <c r="G474" s="154"/>
      <c r="H474" s="154"/>
      <c r="I474" s="199"/>
      <c r="J474" s="129"/>
    </row>
    <row r="475" spans="1:10" ht="15" customHeight="1">
      <c r="A475" s="178">
        <f t="shared" si="24"/>
        <v>400</v>
      </c>
      <c r="B475" s="4"/>
      <c r="C475" s="80"/>
      <c r="D475" s="25"/>
      <c r="E475" s="47"/>
      <c r="F475" s="154"/>
      <c r="G475" s="154"/>
      <c r="H475" s="154"/>
      <c r="I475" s="199"/>
      <c r="J475" s="129"/>
    </row>
    <row r="476" spans="1:10" ht="15" customHeight="1">
      <c r="A476" s="178">
        <f t="shared" si="24"/>
        <v>401</v>
      </c>
      <c r="B476" s="4"/>
      <c r="C476" s="80"/>
      <c r="D476" s="25"/>
      <c r="E476" s="47"/>
      <c r="F476" s="154"/>
      <c r="G476" s="154"/>
      <c r="H476" s="154"/>
      <c r="I476" s="199"/>
      <c r="J476" s="129"/>
    </row>
    <row r="477" spans="1:10" ht="15" customHeight="1">
      <c r="A477" s="178">
        <f t="shared" si="24"/>
        <v>402</v>
      </c>
      <c r="B477" s="4"/>
      <c r="C477" s="80"/>
      <c r="D477" s="25"/>
      <c r="E477" s="47"/>
      <c r="F477" s="154"/>
      <c r="G477" s="154"/>
      <c r="H477" s="154"/>
      <c r="I477" s="199"/>
      <c r="J477" s="129"/>
    </row>
    <row r="478" spans="1:10" ht="15" customHeight="1">
      <c r="A478" s="178">
        <f t="shared" si="24"/>
        <v>403</v>
      </c>
      <c r="B478" s="4"/>
      <c r="C478" s="80"/>
      <c r="D478" s="25"/>
      <c r="E478" s="47"/>
      <c r="F478" s="154"/>
      <c r="G478" s="154"/>
      <c r="H478" s="154"/>
      <c r="I478" s="199"/>
      <c r="J478" s="129"/>
    </row>
    <row r="479" spans="1:10" ht="15" customHeight="1">
      <c r="A479" s="178">
        <f t="shared" si="24"/>
        <v>404</v>
      </c>
      <c r="B479" s="210">
        <v>75108</v>
      </c>
      <c r="C479" s="211" t="s">
        <v>640</v>
      </c>
      <c r="D479" s="25"/>
      <c r="E479" s="47"/>
      <c r="F479" s="154">
        <f>SUM(F480:F489)</f>
        <v>0</v>
      </c>
      <c r="G479" s="154">
        <f>SUM(G480:G489)</f>
        <v>9019.999999999998</v>
      </c>
      <c r="H479" s="154">
        <f>SUM(H480:H489)</f>
        <v>9019.999999999998</v>
      </c>
      <c r="I479" s="199">
        <f>H479/G479</f>
        <v>1</v>
      </c>
      <c r="J479" s="129">
        <f>H479/H$54</f>
        <v>0.0002838723805374746</v>
      </c>
    </row>
    <row r="480" spans="1:10" ht="15" customHeight="1">
      <c r="A480" s="178">
        <f t="shared" si="24"/>
        <v>405</v>
      </c>
      <c r="B480" s="4">
        <v>3030</v>
      </c>
      <c r="C480" s="80" t="s">
        <v>641</v>
      </c>
      <c r="D480" s="25"/>
      <c r="E480" s="47"/>
      <c r="F480" s="154">
        <v>0</v>
      </c>
      <c r="G480" s="154">
        <v>3960</v>
      </c>
      <c r="H480" s="154">
        <v>3960</v>
      </c>
      <c r="I480" s="199">
        <f aca="true" t="shared" si="25" ref="I480:I489">H480/G480</f>
        <v>1</v>
      </c>
      <c r="J480" s="129">
        <f aca="true" t="shared" si="26" ref="J480:J489">H480/H$54</f>
        <v>0.00012462689877254984</v>
      </c>
    </row>
    <row r="481" spans="1:10" ht="15" customHeight="1">
      <c r="A481" s="178">
        <f t="shared" si="24"/>
        <v>406</v>
      </c>
      <c r="B481" s="4">
        <v>4110</v>
      </c>
      <c r="C481" s="80" t="s">
        <v>32</v>
      </c>
      <c r="D481" s="25"/>
      <c r="E481" s="47"/>
      <c r="F481" s="154">
        <v>0</v>
      </c>
      <c r="G481" s="154">
        <v>328.32</v>
      </c>
      <c r="H481" s="154">
        <v>328.32</v>
      </c>
      <c r="I481" s="199">
        <f t="shared" si="25"/>
        <v>1</v>
      </c>
      <c r="J481" s="129">
        <f t="shared" si="26"/>
        <v>1.0332702880051405E-05</v>
      </c>
    </row>
    <row r="482" spans="1:10" ht="15" customHeight="1">
      <c r="A482" s="178">
        <f t="shared" si="24"/>
        <v>407</v>
      </c>
      <c r="B482" s="4">
        <v>4120</v>
      </c>
      <c r="C482" s="80" t="s">
        <v>33</v>
      </c>
      <c r="D482" s="25"/>
      <c r="E482" s="47"/>
      <c r="F482" s="154">
        <v>0</v>
      </c>
      <c r="G482" s="154">
        <v>47.04</v>
      </c>
      <c r="H482" s="154">
        <v>47.04</v>
      </c>
      <c r="I482" s="199">
        <f t="shared" si="25"/>
        <v>1</v>
      </c>
      <c r="J482" s="129">
        <f t="shared" si="26"/>
        <v>1.480416494510289E-06</v>
      </c>
    </row>
    <row r="483" spans="1:10" ht="15" customHeight="1">
      <c r="A483" s="178">
        <f t="shared" si="24"/>
        <v>408</v>
      </c>
      <c r="B483" s="4">
        <v>4170</v>
      </c>
      <c r="C483" s="80" t="s">
        <v>258</v>
      </c>
      <c r="D483" s="25"/>
      <c r="E483" s="47"/>
      <c r="F483" s="154">
        <v>0</v>
      </c>
      <c r="G483" s="154">
        <v>1920</v>
      </c>
      <c r="H483" s="154">
        <v>1920</v>
      </c>
      <c r="I483" s="199">
        <f t="shared" si="25"/>
        <v>1</v>
      </c>
      <c r="J483" s="129">
        <f t="shared" si="26"/>
        <v>6.042516304123629E-05</v>
      </c>
    </row>
    <row r="484" spans="1:10" ht="15" customHeight="1">
      <c r="A484" s="178">
        <f t="shared" si="24"/>
        <v>409</v>
      </c>
      <c r="B484" s="4">
        <v>4210</v>
      </c>
      <c r="C484" s="80" t="s">
        <v>153</v>
      </c>
      <c r="D484" s="25"/>
      <c r="E484" s="47"/>
      <c r="F484" s="154">
        <v>0</v>
      </c>
      <c r="G484" s="154">
        <v>1127.08</v>
      </c>
      <c r="H484" s="154">
        <v>1127.08</v>
      </c>
      <c r="I484" s="199">
        <f t="shared" si="25"/>
        <v>1</v>
      </c>
      <c r="J484" s="129">
        <f t="shared" si="26"/>
        <v>3.547082956276906E-05</v>
      </c>
    </row>
    <row r="485" spans="1:10" ht="15" customHeight="1">
      <c r="A485" s="178">
        <f t="shared" si="24"/>
        <v>410</v>
      </c>
      <c r="B485" s="15">
        <v>4300</v>
      </c>
      <c r="C485" s="82" t="s">
        <v>151</v>
      </c>
      <c r="D485" s="25"/>
      <c r="E485" s="47"/>
      <c r="F485" s="154">
        <v>0</v>
      </c>
      <c r="G485" s="154">
        <v>1033.76</v>
      </c>
      <c r="H485" s="154">
        <v>1033.76</v>
      </c>
      <c r="I485" s="199">
        <f t="shared" si="25"/>
        <v>1</v>
      </c>
      <c r="J485" s="129">
        <f t="shared" si="26"/>
        <v>3.2533914867452305E-05</v>
      </c>
    </row>
    <row r="486" spans="1:10" ht="15" customHeight="1">
      <c r="A486" s="178">
        <f t="shared" si="24"/>
        <v>411</v>
      </c>
      <c r="B486" s="4">
        <v>4370</v>
      </c>
      <c r="C486" s="80" t="s">
        <v>642</v>
      </c>
      <c r="D486" s="25"/>
      <c r="E486" s="47"/>
      <c r="F486" s="154"/>
      <c r="G486" s="154"/>
      <c r="H486" s="154"/>
      <c r="I486" s="199"/>
      <c r="J486" s="129"/>
    </row>
    <row r="487" spans="1:10" ht="15" customHeight="1">
      <c r="A487" s="178">
        <f t="shared" si="24"/>
        <v>412</v>
      </c>
      <c r="B487" s="4"/>
      <c r="C487" s="80" t="s">
        <v>394</v>
      </c>
      <c r="D487" s="25"/>
      <c r="E487" s="47"/>
      <c r="F487" s="154">
        <v>0</v>
      </c>
      <c r="G487" s="154">
        <v>296.51</v>
      </c>
      <c r="H487" s="154">
        <v>296.51</v>
      </c>
      <c r="I487" s="199">
        <f t="shared" si="25"/>
        <v>1</v>
      </c>
      <c r="J487" s="129">
        <f t="shared" si="26"/>
        <v>9.33159640279009E-06</v>
      </c>
    </row>
    <row r="488" spans="1:10" ht="15" customHeight="1">
      <c r="A488" s="178">
        <f t="shared" si="24"/>
        <v>413</v>
      </c>
      <c r="B488" s="4">
        <v>4410</v>
      </c>
      <c r="C488" s="80" t="s">
        <v>29</v>
      </c>
      <c r="D488" s="25"/>
      <c r="E488" s="47"/>
      <c r="F488" s="154">
        <v>0</v>
      </c>
      <c r="G488" s="154">
        <v>207.73</v>
      </c>
      <c r="H488" s="154">
        <v>207.73</v>
      </c>
      <c r="I488" s="199">
        <f t="shared" si="25"/>
        <v>1</v>
      </c>
      <c r="J488" s="129">
        <f t="shared" si="26"/>
        <v>6.537562040914591E-06</v>
      </c>
    </row>
    <row r="489" spans="1:10" ht="15" customHeight="1">
      <c r="A489" s="178">
        <f t="shared" si="24"/>
        <v>414</v>
      </c>
      <c r="B489" s="4">
        <v>4740</v>
      </c>
      <c r="C489" s="80" t="s">
        <v>643</v>
      </c>
      <c r="D489" s="25"/>
      <c r="E489" s="47"/>
      <c r="F489" s="154">
        <v>0</v>
      </c>
      <c r="G489" s="154">
        <v>99.56</v>
      </c>
      <c r="H489" s="154">
        <v>99.56</v>
      </c>
      <c r="I489" s="199">
        <f t="shared" si="25"/>
        <v>1</v>
      </c>
      <c r="J489" s="129">
        <f t="shared" si="26"/>
        <v>3.1332964752007737E-06</v>
      </c>
    </row>
    <row r="490" spans="1:10" s="71" customFormat="1" ht="12.75">
      <c r="A490" s="178">
        <f t="shared" si="24"/>
        <v>415</v>
      </c>
      <c r="B490" s="77">
        <v>752</v>
      </c>
      <c r="C490" s="81" t="s">
        <v>267</v>
      </c>
      <c r="D490" s="59"/>
      <c r="E490" s="72"/>
      <c r="F490" s="167">
        <f aca="true" t="shared" si="27" ref="F490:H491">F491</f>
        <v>0</v>
      </c>
      <c r="G490" s="167">
        <f t="shared" si="27"/>
        <v>0</v>
      </c>
      <c r="H490" s="167">
        <f t="shared" si="27"/>
        <v>0</v>
      </c>
      <c r="I490" s="199"/>
      <c r="J490" s="129">
        <f>H490/H$54</f>
        <v>0</v>
      </c>
    </row>
    <row r="491" spans="1:10" s="74" customFormat="1" ht="12.75">
      <c r="A491" s="178">
        <f t="shared" si="24"/>
        <v>416</v>
      </c>
      <c r="B491" s="142">
        <v>75212</v>
      </c>
      <c r="C491" s="142" t="s">
        <v>268</v>
      </c>
      <c r="D491" s="64"/>
      <c r="E491" s="73"/>
      <c r="F491" s="164">
        <f t="shared" si="27"/>
        <v>0</v>
      </c>
      <c r="G491" s="164">
        <f t="shared" si="27"/>
        <v>0</v>
      </c>
      <c r="H491" s="164">
        <f t="shared" si="27"/>
        <v>0</v>
      </c>
      <c r="I491" s="199"/>
      <c r="J491" s="129">
        <f>H491/H$54</f>
        <v>0</v>
      </c>
    </row>
    <row r="492" spans="1:10" ht="12.75">
      <c r="A492" s="178">
        <f t="shared" si="24"/>
        <v>417</v>
      </c>
      <c r="B492" s="15">
        <v>4300</v>
      </c>
      <c r="C492" s="123" t="s">
        <v>151</v>
      </c>
      <c r="D492" s="25"/>
      <c r="E492" s="47"/>
      <c r="F492" s="154">
        <v>0</v>
      </c>
      <c r="G492" s="154">
        <v>0</v>
      </c>
      <c r="H492" s="154">
        <v>0</v>
      </c>
      <c r="I492" s="199"/>
      <c r="J492" s="129">
        <f>H492/H$54</f>
        <v>0</v>
      </c>
    </row>
    <row r="493" spans="1:10" s="71" customFormat="1" ht="12.75">
      <c r="A493" s="178">
        <f t="shared" si="24"/>
        <v>418</v>
      </c>
      <c r="B493" s="77">
        <v>754</v>
      </c>
      <c r="C493" s="81" t="s">
        <v>122</v>
      </c>
      <c r="D493" s="59"/>
      <c r="E493" s="72"/>
      <c r="F493" s="167"/>
      <c r="G493" s="167"/>
      <c r="H493" s="167"/>
      <c r="I493" s="199"/>
      <c r="J493" s="129"/>
    </row>
    <row r="494" spans="1:10" s="71" customFormat="1" ht="12.75">
      <c r="A494" s="178">
        <f t="shared" si="24"/>
        <v>419</v>
      </c>
      <c r="B494" s="78"/>
      <c r="C494" s="81" t="s">
        <v>123</v>
      </c>
      <c r="D494" s="59"/>
      <c r="E494" s="60" t="e">
        <f>E495+#REF!+E508+E529+E537</f>
        <v>#REF!</v>
      </c>
      <c r="F494" s="59">
        <f>F495+F508+F529+F537+F558</f>
        <v>571713</v>
      </c>
      <c r="G494" s="59">
        <f>G495+G508+G529+G537+G558</f>
        <v>723973</v>
      </c>
      <c r="H494" s="59">
        <f>H495+H508+H529+H537+H558</f>
        <v>601866.8099999999</v>
      </c>
      <c r="I494" s="199">
        <f>H494/G494</f>
        <v>0.8313387515832772</v>
      </c>
      <c r="J494" s="129">
        <f>H494/H$54</f>
        <v>0.018941614647582698</v>
      </c>
    </row>
    <row r="495" spans="1:10" s="74" customFormat="1" ht="12.75">
      <c r="A495" s="178">
        <f t="shared" si="24"/>
        <v>420</v>
      </c>
      <c r="B495" s="76">
        <v>75405</v>
      </c>
      <c r="C495" s="124" t="s">
        <v>105</v>
      </c>
      <c r="D495" s="64"/>
      <c r="E495" s="73" t="e">
        <f>#REF!</f>
        <v>#REF!</v>
      </c>
      <c r="F495" s="164">
        <f>+F500+F503+F507</f>
        <v>50000</v>
      </c>
      <c r="G495" s="164">
        <f>+G500+G503+G507</f>
        <v>114290</v>
      </c>
      <c r="H495" s="164">
        <f>+H500+H503+H507</f>
        <v>100000</v>
      </c>
      <c r="I495" s="199">
        <f>H495/G495</f>
        <v>0.8749671887304226</v>
      </c>
      <c r="J495" s="129">
        <f>H495/H$54</f>
        <v>0.0031471439083977236</v>
      </c>
    </row>
    <row r="496" spans="1:10" s="61" customFormat="1" ht="12.75">
      <c r="A496" s="178">
        <f t="shared" si="24"/>
        <v>421</v>
      </c>
      <c r="B496" s="82">
        <v>3000</v>
      </c>
      <c r="C496" s="123" t="s">
        <v>278</v>
      </c>
      <c r="D496" s="85"/>
      <c r="E496" s="84"/>
      <c r="F496" s="160"/>
      <c r="G496" s="160"/>
      <c r="H496" s="160"/>
      <c r="I496" s="199"/>
      <c r="J496" s="129"/>
    </row>
    <row r="497" spans="1:10" s="61" customFormat="1" ht="12.75">
      <c r="A497" s="178">
        <f t="shared" si="24"/>
        <v>422</v>
      </c>
      <c r="B497" s="82"/>
      <c r="C497" s="123" t="s">
        <v>644</v>
      </c>
      <c r="D497" s="85"/>
      <c r="E497" s="84"/>
      <c r="F497" s="160"/>
      <c r="G497" s="160"/>
      <c r="H497" s="160"/>
      <c r="I497" s="199"/>
      <c r="J497" s="129"/>
    </row>
    <row r="498" spans="1:10" s="61" customFormat="1" ht="12.75">
      <c r="A498" s="178">
        <f t="shared" si="24"/>
        <v>423</v>
      </c>
      <c r="B498" s="141"/>
      <c r="C498" s="61" t="s">
        <v>565</v>
      </c>
      <c r="D498" s="85"/>
      <c r="E498" s="84"/>
      <c r="F498" s="85"/>
      <c r="G498" s="160"/>
      <c r="H498" s="160"/>
      <c r="I498" s="199"/>
      <c r="J498" s="129"/>
    </row>
    <row r="499" spans="1:10" s="61" customFormat="1" ht="12.75">
      <c r="A499" s="178">
        <f t="shared" si="24"/>
        <v>424</v>
      </c>
      <c r="B499" s="141"/>
      <c r="C499" s="61" t="s">
        <v>566</v>
      </c>
      <c r="D499" s="85"/>
      <c r="E499" s="84"/>
      <c r="F499" s="85"/>
      <c r="G499" s="160"/>
      <c r="H499" s="160"/>
      <c r="I499" s="199"/>
      <c r="J499" s="129"/>
    </row>
    <row r="500" spans="1:10" s="61" customFormat="1" ht="12.75">
      <c r="A500" s="178">
        <f t="shared" si="24"/>
        <v>425</v>
      </c>
      <c r="B500" s="141"/>
      <c r="C500" s="61" t="s">
        <v>567</v>
      </c>
      <c r="D500" s="85"/>
      <c r="E500" s="84"/>
      <c r="F500" s="85">
        <v>50000</v>
      </c>
      <c r="G500" s="160">
        <v>100290</v>
      </c>
      <c r="H500" s="160">
        <v>100000</v>
      </c>
      <c r="I500" s="199">
        <f aca="true" t="shared" si="28" ref="I500:I568">H500/G500</f>
        <v>0.9971083856815236</v>
      </c>
      <c r="J500" s="129">
        <f>H500/H$54</f>
        <v>0.0031471439083977236</v>
      </c>
    </row>
    <row r="501" spans="1:10" s="61" customFormat="1" ht="12.75">
      <c r="A501" s="178">
        <f t="shared" si="24"/>
        <v>426</v>
      </c>
      <c r="B501" s="82">
        <v>6170</v>
      </c>
      <c r="C501" s="123" t="s">
        <v>278</v>
      </c>
      <c r="D501" s="85"/>
      <c r="E501" s="84"/>
      <c r="F501" s="160"/>
      <c r="G501" s="160"/>
      <c r="H501" s="160"/>
      <c r="I501" s="199"/>
      <c r="J501" s="129"/>
    </row>
    <row r="502" spans="1:10" s="61" customFormat="1" ht="12.75">
      <c r="A502" s="178">
        <f t="shared" si="24"/>
        <v>427</v>
      </c>
      <c r="B502" s="82"/>
      <c r="C502" s="123" t="s">
        <v>306</v>
      </c>
      <c r="D502" s="85"/>
      <c r="E502" s="84"/>
      <c r="F502" s="160"/>
      <c r="G502" s="160"/>
      <c r="H502" s="160"/>
      <c r="I502" s="199"/>
      <c r="J502" s="129"/>
    </row>
    <row r="503" spans="1:10" s="61" customFormat="1" ht="12.75">
      <c r="A503" s="178">
        <f t="shared" si="24"/>
        <v>428</v>
      </c>
      <c r="B503" s="82"/>
      <c r="C503" s="123" t="s">
        <v>307</v>
      </c>
      <c r="D503" s="85"/>
      <c r="E503" s="84"/>
      <c r="F503" s="160">
        <f>SUM(F505:F506)</f>
        <v>0</v>
      </c>
      <c r="G503" s="160">
        <f>SUM(G505:G506)</f>
        <v>0</v>
      </c>
      <c r="H503" s="160">
        <f>SUM(H505:H506)</f>
        <v>0</v>
      </c>
      <c r="I503" s="199"/>
      <c r="J503" s="129">
        <f aca="true" t="shared" si="29" ref="J503:J561">H503/H$54</f>
        <v>0</v>
      </c>
    </row>
    <row r="504" spans="1:10" s="61" customFormat="1" ht="12.75">
      <c r="A504" s="178">
        <f t="shared" si="24"/>
        <v>429</v>
      </c>
      <c r="B504" s="82"/>
      <c r="C504" s="123" t="s">
        <v>15</v>
      </c>
      <c r="D504" s="85"/>
      <c r="E504" s="84"/>
      <c r="F504" s="160"/>
      <c r="G504" s="160"/>
      <c r="H504" s="160"/>
      <c r="I504" s="199"/>
      <c r="J504" s="129"/>
    </row>
    <row r="505" spans="1:10" s="61" customFormat="1" ht="12.75">
      <c r="A505" s="178">
        <f t="shared" si="24"/>
        <v>430</v>
      </c>
      <c r="B505" s="82"/>
      <c r="C505" s="123" t="s">
        <v>361</v>
      </c>
      <c r="D505" s="85"/>
      <c r="E505" s="84"/>
      <c r="F505" s="160">
        <v>0</v>
      </c>
      <c r="G505" s="160">
        <v>0</v>
      </c>
      <c r="H505" s="160">
        <v>0</v>
      </c>
      <c r="I505" s="199"/>
      <c r="J505" s="129">
        <f t="shared" si="29"/>
        <v>0</v>
      </c>
    </row>
    <row r="506" spans="1:10" s="61" customFormat="1" ht="12.75">
      <c r="A506" s="178">
        <f aca="true" t="shared" si="30" ref="A506:A511">A505+1</f>
        <v>431</v>
      </c>
      <c r="B506" s="82"/>
      <c r="C506" s="123" t="s">
        <v>362</v>
      </c>
      <c r="D506" s="85"/>
      <c r="E506" s="84"/>
      <c r="F506" s="160">
        <v>0</v>
      </c>
      <c r="G506" s="160">
        <v>0</v>
      </c>
      <c r="H506" s="160">
        <v>0</v>
      </c>
      <c r="I506" s="199"/>
      <c r="J506" s="129">
        <f t="shared" si="29"/>
        <v>0</v>
      </c>
    </row>
    <row r="507" spans="1:10" s="61" customFormat="1" ht="12.75">
      <c r="A507" s="178">
        <f t="shared" si="30"/>
        <v>432</v>
      </c>
      <c r="B507" s="82">
        <v>6620</v>
      </c>
      <c r="C507" s="123" t="s">
        <v>645</v>
      </c>
      <c r="D507" s="85"/>
      <c r="E507" s="84"/>
      <c r="F507" s="160">
        <v>0</v>
      </c>
      <c r="G507" s="160">
        <v>14000</v>
      </c>
      <c r="H507" s="160">
        <v>0</v>
      </c>
      <c r="I507" s="199"/>
      <c r="J507" s="129">
        <f t="shared" si="29"/>
        <v>0</v>
      </c>
    </row>
    <row r="508" spans="1:10" s="74" customFormat="1" ht="12.75">
      <c r="A508" s="178">
        <f t="shared" si="30"/>
        <v>433</v>
      </c>
      <c r="B508" s="76">
        <v>75412</v>
      </c>
      <c r="C508" s="124" t="s">
        <v>26</v>
      </c>
      <c r="D508" s="64"/>
      <c r="E508" s="65">
        <f>SUM(E509:E523)</f>
        <v>53500</v>
      </c>
      <c r="F508" s="64">
        <f>SUM(F509:F528)</f>
        <v>126039</v>
      </c>
      <c r="G508" s="64">
        <f>SUM(G509:G528)</f>
        <v>135580</v>
      </c>
      <c r="H508" s="64">
        <f>SUM(H509:H528)</f>
        <v>93602.28</v>
      </c>
      <c r="I508" s="199">
        <f t="shared" si="28"/>
        <v>0.6903841274524266</v>
      </c>
      <c r="J508" s="129">
        <f t="shared" si="29"/>
        <v>0.0029457984531413807</v>
      </c>
    </row>
    <row r="509" spans="1:10" ht="12.75">
      <c r="A509" s="178">
        <f t="shared" si="30"/>
        <v>434</v>
      </c>
      <c r="B509" s="4">
        <v>3020</v>
      </c>
      <c r="C509" s="80" t="s">
        <v>266</v>
      </c>
      <c r="D509" s="25"/>
      <c r="E509" s="47">
        <v>3500</v>
      </c>
      <c r="F509" s="154">
        <v>3000</v>
      </c>
      <c r="G509" s="154">
        <v>18262</v>
      </c>
      <c r="H509" s="154">
        <v>10603.4</v>
      </c>
      <c r="I509" s="199">
        <f t="shared" si="28"/>
        <v>0.5806264374110174</v>
      </c>
      <c r="J509" s="129">
        <f t="shared" si="29"/>
        <v>0.0003337042571830442</v>
      </c>
    </row>
    <row r="510" spans="1:10" s="19" customFormat="1" ht="12.75">
      <c r="A510" s="178">
        <f t="shared" si="30"/>
        <v>435</v>
      </c>
      <c r="B510" s="14">
        <v>4010</v>
      </c>
      <c r="C510" s="80" t="s">
        <v>27</v>
      </c>
      <c r="D510" s="28"/>
      <c r="E510" s="47">
        <v>18100</v>
      </c>
      <c r="F510" s="154">
        <v>23500</v>
      </c>
      <c r="G510" s="154">
        <v>23980</v>
      </c>
      <c r="H510" s="154">
        <v>12524.5</v>
      </c>
      <c r="I510" s="199">
        <f t="shared" si="28"/>
        <v>0.5222894078398665</v>
      </c>
      <c r="J510" s="129">
        <f t="shared" si="29"/>
        <v>0.0003941640388072729</v>
      </c>
    </row>
    <row r="511" spans="1:10" s="19" customFormat="1" ht="12.75">
      <c r="A511" s="178">
        <f t="shared" si="30"/>
        <v>436</v>
      </c>
      <c r="B511" s="14">
        <v>4040</v>
      </c>
      <c r="C511" s="80" t="s">
        <v>28</v>
      </c>
      <c r="D511" s="28"/>
      <c r="E511" s="47">
        <v>1400</v>
      </c>
      <c r="F511" s="154">
        <v>960</v>
      </c>
      <c r="G511" s="154">
        <v>833</v>
      </c>
      <c r="H511" s="154">
        <v>833</v>
      </c>
      <c r="I511" s="199">
        <f t="shared" si="28"/>
        <v>1</v>
      </c>
      <c r="J511" s="129">
        <f t="shared" si="29"/>
        <v>2.6215708756953035E-05</v>
      </c>
    </row>
    <row r="512" spans="1:10" ht="12.75">
      <c r="A512" s="178">
        <f t="shared" si="24"/>
        <v>437</v>
      </c>
      <c r="B512" s="4">
        <v>4110</v>
      </c>
      <c r="C512" s="80" t="s">
        <v>32</v>
      </c>
      <c r="D512" s="25"/>
      <c r="E512" s="47">
        <v>3500</v>
      </c>
      <c r="F512" s="154">
        <v>4300</v>
      </c>
      <c r="G512" s="154">
        <v>4380</v>
      </c>
      <c r="H512" s="154">
        <v>2411.21</v>
      </c>
      <c r="I512" s="199">
        <f t="shared" si="28"/>
        <v>0.5505045662100456</v>
      </c>
      <c r="J512" s="129">
        <f t="shared" si="29"/>
        <v>7.588424863367675E-05</v>
      </c>
    </row>
    <row r="513" spans="1:10" ht="12.75">
      <c r="A513" s="178">
        <f t="shared" si="24"/>
        <v>438</v>
      </c>
      <c r="B513" s="4">
        <v>4120</v>
      </c>
      <c r="C513" s="80" t="s">
        <v>33</v>
      </c>
      <c r="D513" s="25"/>
      <c r="E513" s="47">
        <v>500</v>
      </c>
      <c r="F513" s="154">
        <v>600</v>
      </c>
      <c r="G513" s="154">
        <v>610</v>
      </c>
      <c r="H513" s="154">
        <v>344.89</v>
      </c>
      <c r="I513" s="199">
        <f t="shared" si="28"/>
        <v>0.5653934426229508</v>
      </c>
      <c r="J513" s="129">
        <f t="shared" si="29"/>
        <v>1.0854184625672907E-05</v>
      </c>
    </row>
    <row r="514" spans="1:10" ht="12.75">
      <c r="A514" s="178">
        <f aca="true" t="shared" si="31" ref="A514:A577">A513+1</f>
        <v>439</v>
      </c>
      <c r="B514" s="4">
        <v>4140</v>
      </c>
      <c r="C514" s="80" t="s">
        <v>177</v>
      </c>
      <c r="D514" s="25"/>
      <c r="E514" s="47">
        <v>200</v>
      </c>
      <c r="F514" s="154">
        <v>500</v>
      </c>
      <c r="G514" s="154">
        <v>670</v>
      </c>
      <c r="H514" s="154">
        <v>643.8</v>
      </c>
      <c r="I514" s="199">
        <f t="shared" si="28"/>
        <v>0.9608955223880596</v>
      </c>
      <c r="J514" s="129">
        <f t="shared" si="29"/>
        <v>2.0261312482264542E-05</v>
      </c>
    </row>
    <row r="515" spans="1:10" ht="12.75">
      <c r="A515" s="178">
        <f t="shared" si="31"/>
        <v>440</v>
      </c>
      <c r="B515" s="4">
        <v>4170</v>
      </c>
      <c r="C515" s="80" t="s">
        <v>258</v>
      </c>
      <c r="D515" s="25"/>
      <c r="E515" s="47"/>
      <c r="F515" s="154">
        <v>0</v>
      </c>
      <c r="G515" s="154">
        <v>720</v>
      </c>
      <c r="H515" s="154">
        <v>720</v>
      </c>
      <c r="I515" s="199">
        <f t="shared" si="28"/>
        <v>1</v>
      </c>
      <c r="J515" s="129">
        <f t="shared" si="29"/>
        <v>2.265943614046361E-05</v>
      </c>
    </row>
    <row r="516" spans="1:10" ht="12.75">
      <c r="A516" s="178">
        <f t="shared" si="31"/>
        <v>441</v>
      </c>
      <c r="B516" s="4">
        <v>4210</v>
      </c>
      <c r="C516" s="80" t="s">
        <v>153</v>
      </c>
      <c r="D516" s="25"/>
      <c r="E516" s="47">
        <v>9500</v>
      </c>
      <c r="F516" s="154">
        <v>23900</v>
      </c>
      <c r="G516" s="154">
        <v>23438</v>
      </c>
      <c r="H516" s="154">
        <v>22416.23</v>
      </c>
      <c r="I516" s="199">
        <f t="shared" si="28"/>
        <v>0.9564054100179196</v>
      </c>
      <c r="J516" s="129">
        <f t="shared" si="29"/>
        <v>0.000705471016937423</v>
      </c>
    </row>
    <row r="517" spans="1:10" ht="12.75">
      <c r="A517" s="178">
        <f t="shared" si="31"/>
        <v>442</v>
      </c>
      <c r="B517" s="4">
        <v>4260</v>
      </c>
      <c r="C517" s="80" t="s">
        <v>155</v>
      </c>
      <c r="D517" s="25"/>
      <c r="E517" s="47">
        <v>3000</v>
      </c>
      <c r="F517" s="154">
        <v>9500</v>
      </c>
      <c r="G517" s="154">
        <v>9500</v>
      </c>
      <c r="H517" s="154">
        <v>1184.51</v>
      </c>
      <c r="I517" s="199">
        <f t="shared" si="28"/>
        <v>0.12468526315789473</v>
      </c>
      <c r="J517" s="129">
        <f t="shared" si="29"/>
        <v>3.7278234309361875E-05</v>
      </c>
    </row>
    <row r="518" spans="1:10" ht="12.75">
      <c r="A518" s="178">
        <f t="shared" si="31"/>
        <v>443</v>
      </c>
      <c r="B518" s="4">
        <v>4270</v>
      </c>
      <c r="C518" s="80" t="s">
        <v>152</v>
      </c>
      <c r="D518" s="25"/>
      <c r="E518" s="47">
        <v>5000</v>
      </c>
      <c r="F518" s="154">
        <v>5000</v>
      </c>
      <c r="G518" s="154">
        <v>5000</v>
      </c>
      <c r="H518" s="154">
        <v>2320.76</v>
      </c>
      <c r="I518" s="199">
        <f t="shared" si="28"/>
        <v>0.46415200000000006</v>
      </c>
      <c r="J518" s="129">
        <f t="shared" si="29"/>
        <v>7.303765696853102E-05</v>
      </c>
    </row>
    <row r="519" spans="1:10" ht="12.75">
      <c r="A519" s="178">
        <f t="shared" si="31"/>
        <v>444</v>
      </c>
      <c r="B519" s="4">
        <v>4280</v>
      </c>
      <c r="C519" s="80" t="s">
        <v>326</v>
      </c>
      <c r="D519" s="25"/>
      <c r="E519" s="47"/>
      <c r="F519" s="154">
        <v>0</v>
      </c>
      <c r="G519" s="154">
        <v>600</v>
      </c>
      <c r="H519" s="154">
        <v>390</v>
      </c>
      <c r="I519" s="199">
        <f t="shared" si="28"/>
        <v>0.65</v>
      </c>
      <c r="J519" s="129">
        <f t="shared" si="29"/>
        <v>1.2273861242751121E-05</v>
      </c>
    </row>
    <row r="520" spans="1:10" ht="12.75" customHeight="1">
      <c r="A520" s="178">
        <f t="shared" si="31"/>
        <v>445</v>
      </c>
      <c r="B520" s="4">
        <v>4300</v>
      </c>
      <c r="C520" s="80" t="s">
        <v>151</v>
      </c>
      <c r="D520" s="25"/>
      <c r="E520" s="47">
        <v>4000</v>
      </c>
      <c r="F520" s="154">
        <v>21500</v>
      </c>
      <c r="G520" s="154">
        <v>3980</v>
      </c>
      <c r="H520" s="154">
        <v>1440.4</v>
      </c>
      <c r="I520" s="199">
        <f t="shared" si="28"/>
        <v>0.3619095477386935</v>
      </c>
      <c r="J520" s="129">
        <f t="shared" si="29"/>
        <v>4.533146085656081E-05</v>
      </c>
    </row>
    <row r="521" spans="1:10" ht="12.75">
      <c r="A521" s="178">
        <f t="shared" si="31"/>
        <v>446</v>
      </c>
      <c r="B521" s="4">
        <v>4410</v>
      </c>
      <c r="C521" s="80" t="s">
        <v>29</v>
      </c>
      <c r="D521" s="25"/>
      <c r="E521" s="47">
        <v>1200</v>
      </c>
      <c r="F521" s="154">
        <v>500</v>
      </c>
      <c r="G521" s="154">
        <v>1500</v>
      </c>
      <c r="H521" s="154">
        <v>1199.46</v>
      </c>
      <c r="I521" s="199">
        <f t="shared" si="28"/>
        <v>0.79964</v>
      </c>
      <c r="J521" s="129">
        <f t="shared" si="29"/>
        <v>3.7748732323667336E-05</v>
      </c>
    </row>
    <row r="522" spans="1:10" ht="12.75">
      <c r="A522" s="178">
        <f t="shared" si="31"/>
        <v>447</v>
      </c>
      <c r="B522" s="4">
        <v>4430</v>
      </c>
      <c r="C522" s="80" t="s">
        <v>31</v>
      </c>
      <c r="D522" s="25"/>
      <c r="E522" s="47">
        <v>3000</v>
      </c>
      <c r="F522" s="154">
        <v>12000</v>
      </c>
      <c r="G522" s="154">
        <v>12000</v>
      </c>
      <c r="H522" s="154">
        <v>6480.6</v>
      </c>
      <c r="I522" s="199">
        <f t="shared" si="28"/>
        <v>0.54005</v>
      </c>
      <c r="J522" s="129">
        <f t="shared" si="29"/>
        <v>0.0002039538081276229</v>
      </c>
    </row>
    <row r="523" spans="1:10" ht="12.75">
      <c r="A523" s="178">
        <f t="shared" si="31"/>
        <v>448</v>
      </c>
      <c r="B523" s="4">
        <v>4440</v>
      </c>
      <c r="C523" s="80" t="s">
        <v>34</v>
      </c>
      <c r="D523" s="25"/>
      <c r="E523" s="47">
        <v>600</v>
      </c>
      <c r="F523" s="154">
        <v>779</v>
      </c>
      <c r="G523" s="154">
        <v>805</v>
      </c>
      <c r="H523" s="154">
        <v>805</v>
      </c>
      <c r="I523" s="199">
        <f t="shared" si="28"/>
        <v>1</v>
      </c>
      <c r="J523" s="129">
        <f t="shared" si="29"/>
        <v>2.5334508462601675E-05</v>
      </c>
    </row>
    <row r="524" spans="1:10" ht="12.75">
      <c r="A524" s="178">
        <f t="shared" si="31"/>
        <v>449</v>
      </c>
      <c r="B524" s="4">
        <v>6050</v>
      </c>
      <c r="C524" s="80" t="s">
        <v>212</v>
      </c>
      <c r="D524" s="25"/>
      <c r="E524" s="47"/>
      <c r="F524" s="154"/>
      <c r="G524" s="154"/>
      <c r="H524" s="154"/>
      <c r="I524" s="199"/>
      <c r="J524" s="129"/>
    </row>
    <row r="525" spans="1:10" ht="12.75">
      <c r="A525" s="178">
        <f t="shared" si="31"/>
        <v>450</v>
      </c>
      <c r="B525" s="4"/>
      <c r="C525" s="80" t="s">
        <v>646</v>
      </c>
      <c r="D525" s="25"/>
      <c r="E525" s="47"/>
      <c r="F525" s="154"/>
      <c r="G525" s="154"/>
      <c r="H525" s="154"/>
      <c r="I525" s="199"/>
      <c r="J525" s="129"/>
    </row>
    <row r="526" spans="1:10" ht="12.75">
      <c r="A526" s="178">
        <f t="shared" si="31"/>
        <v>451</v>
      </c>
      <c r="B526" s="4"/>
      <c r="C526" s="80" t="s">
        <v>647</v>
      </c>
      <c r="D526" s="25"/>
      <c r="E526" s="47"/>
      <c r="F526" s="154">
        <v>20000</v>
      </c>
      <c r="G526" s="154">
        <v>24342</v>
      </c>
      <c r="H526" s="154">
        <v>24324.52</v>
      </c>
      <c r="I526" s="199">
        <f>H526/G526</f>
        <v>0.9992818995974037</v>
      </c>
      <c r="J526" s="129">
        <f>H526/H$54</f>
        <v>0.0007655276494269859</v>
      </c>
    </row>
    <row r="527" spans="1:10" ht="12.75">
      <c r="A527" s="178">
        <f t="shared" si="31"/>
        <v>452</v>
      </c>
      <c r="B527" s="4">
        <v>6060</v>
      </c>
      <c r="C527" s="80" t="s">
        <v>196</v>
      </c>
      <c r="D527" s="25"/>
      <c r="E527" s="47"/>
      <c r="F527" s="154"/>
      <c r="G527" s="154"/>
      <c r="H527" s="154"/>
      <c r="I527" s="199"/>
      <c r="J527" s="129"/>
    </row>
    <row r="528" spans="1:10" ht="12.75">
      <c r="A528" s="178">
        <f t="shared" si="31"/>
        <v>453</v>
      </c>
      <c r="B528" s="4"/>
      <c r="C528" s="80" t="s">
        <v>648</v>
      </c>
      <c r="D528" s="25"/>
      <c r="E528" s="47"/>
      <c r="F528" s="154">
        <v>0</v>
      </c>
      <c r="G528" s="154">
        <v>4960</v>
      </c>
      <c r="H528" s="154">
        <v>4960</v>
      </c>
      <c r="I528" s="199">
        <f>H528/G528</f>
        <v>1</v>
      </c>
      <c r="J528" s="129">
        <f>H528/H$54</f>
        <v>0.0001560983378565271</v>
      </c>
    </row>
    <row r="529" spans="1:10" s="74" customFormat="1" ht="12.75">
      <c r="A529" s="178">
        <f t="shared" si="31"/>
        <v>454</v>
      </c>
      <c r="B529" s="76">
        <v>75414</v>
      </c>
      <c r="C529" s="124" t="s">
        <v>124</v>
      </c>
      <c r="D529" s="64"/>
      <c r="E529" s="65">
        <f>SUM(E530:E532)</f>
        <v>3000</v>
      </c>
      <c r="F529" s="64">
        <f>SUM(F530:F534)</f>
        <v>3500</v>
      </c>
      <c r="G529" s="64">
        <f>SUM(G530:G534)</f>
        <v>65598</v>
      </c>
      <c r="H529" s="64">
        <f>SUM(H530:H534)</f>
        <v>64986.02</v>
      </c>
      <c r="I529" s="199">
        <f t="shared" si="28"/>
        <v>0.9906707521570779</v>
      </c>
      <c r="J529" s="129">
        <f t="shared" si="29"/>
        <v>0.0020452035697401264</v>
      </c>
    </row>
    <row r="530" spans="1:10" s="42" customFormat="1" ht="14.25">
      <c r="A530" s="178">
        <f t="shared" si="31"/>
        <v>455</v>
      </c>
      <c r="B530" s="15">
        <v>4210</v>
      </c>
      <c r="C530" s="123" t="s">
        <v>153</v>
      </c>
      <c r="D530" s="25"/>
      <c r="E530" s="47">
        <v>1000</v>
      </c>
      <c r="F530" s="154">
        <v>1400</v>
      </c>
      <c r="G530" s="154">
        <v>1930</v>
      </c>
      <c r="H530" s="154">
        <v>1593.86</v>
      </c>
      <c r="I530" s="199">
        <f t="shared" si="28"/>
        <v>0.8258341968911916</v>
      </c>
      <c r="J530" s="129">
        <f t="shared" si="29"/>
        <v>5.016106789838795E-05</v>
      </c>
    </row>
    <row r="531" spans="1:10" s="42" customFormat="1" ht="14.25">
      <c r="A531" s="178">
        <f t="shared" si="31"/>
        <v>456</v>
      </c>
      <c r="B531" s="15">
        <v>4260</v>
      </c>
      <c r="C531" s="123" t="s">
        <v>155</v>
      </c>
      <c r="D531" s="25"/>
      <c r="E531" s="47"/>
      <c r="F531" s="154">
        <v>350</v>
      </c>
      <c r="G531" s="154">
        <v>350</v>
      </c>
      <c r="H531" s="154">
        <v>74.16</v>
      </c>
      <c r="I531" s="199">
        <f t="shared" si="28"/>
        <v>0.2118857142857143</v>
      </c>
      <c r="J531" s="129">
        <f t="shared" si="29"/>
        <v>2.333921922467752E-06</v>
      </c>
    </row>
    <row r="532" spans="1:10" s="42" customFormat="1" ht="14.25">
      <c r="A532" s="178">
        <f t="shared" si="31"/>
        <v>457</v>
      </c>
      <c r="B532" s="15">
        <v>4300</v>
      </c>
      <c r="C532" s="126" t="s">
        <v>151</v>
      </c>
      <c r="D532" s="25"/>
      <c r="E532" s="47">
        <f>3000-1000</f>
        <v>2000</v>
      </c>
      <c r="F532" s="154">
        <v>1750</v>
      </c>
      <c r="G532" s="154">
        <v>1220</v>
      </c>
      <c r="H532" s="154">
        <v>1220</v>
      </c>
      <c r="I532" s="199">
        <f t="shared" si="28"/>
        <v>1</v>
      </c>
      <c r="J532" s="129">
        <f t="shared" si="29"/>
        <v>3.839515568245223E-05</v>
      </c>
    </row>
    <row r="533" spans="1:10" s="42" customFormat="1" ht="14.25">
      <c r="A533" s="178">
        <f t="shared" si="31"/>
        <v>458</v>
      </c>
      <c r="B533" s="4">
        <v>6050</v>
      </c>
      <c r="C533" s="80" t="s">
        <v>212</v>
      </c>
      <c r="D533" s="25"/>
      <c r="E533" s="47"/>
      <c r="F533" s="154"/>
      <c r="G533" s="154"/>
      <c r="H533" s="154"/>
      <c r="I533" s="199"/>
      <c r="J533" s="129"/>
    </row>
    <row r="534" spans="1:10" s="42" customFormat="1" ht="14.25">
      <c r="A534" s="178">
        <f t="shared" si="31"/>
        <v>459</v>
      </c>
      <c r="B534" s="15"/>
      <c r="C534" s="126" t="s">
        <v>649</v>
      </c>
      <c r="D534" s="25"/>
      <c r="E534" s="47"/>
      <c r="F534" s="154">
        <v>0</v>
      </c>
      <c r="G534" s="154">
        <v>62098</v>
      </c>
      <c r="H534" s="154">
        <v>62098</v>
      </c>
      <c r="I534" s="199">
        <f>H534/G534</f>
        <v>1</v>
      </c>
      <c r="J534" s="129">
        <f>H534/H$54</f>
        <v>0.0019543134242368185</v>
      </c>
    </row>
    <row r="535" spans="1:10" s="42" customFormat="1" ht="14.25">
      <c r="A535" s="178"/>
      <c r="B535" s="15"/>
      <c r="C535" s="126"/>
      <c r="D535" s="25"/>
      <c r="E535" s="47"/>
      <c r="F535" s="154"/>
      <c r="G535" s="154"/>
      <c r="H535" s="154"/>
      <c r="I535" s="199"/>
      <c r="J535" s="129"/>
    </row>
    <row r="536" spans="1:10" s="42" customFormat="1" ht="14.25">
      <c r="A536" s="178"/>
      <c r="B536" s="15"/>
      <c r="C536" s="126"/>
      <c r="D536" s="25"/>
      <c r="E536" s="47"/>
      <c r="F536" s="154"/>
      <c r="G536" s="154"/>
      <c r="H536" s="154"/>
      <c r="I536" s="199"/>
      <c r="J536" s="129"/>
    </row>
    <row r="537" spans="1:10" s="74" customFormat="1" ht="12.75">
      <c r="A537" s="178">
        <f>A534+1</f>
        <v>460</v>
      </c>
      <c r="B537" s="76">
        <v>75416</v>
      </c>
      <c r="C537" s="124" t="s">
        <v>103</v>
      </c>
      <c r="D537" s="64"/>
      <c r="E537" s="65" t="e">
        <f>SUM(E538+E540+E541+E542+E543+E544+E545+E551+E552+E553+E554)</f>
        <v>#REF!</v>
      </c>
      <c r="F537" s="64">
        <f>F539+F540+F541+F542+F543+F544+F545+F549+F550+F551+F552+F553+F554+F556+F557</f>
        <v>389174</v>
      </c>
      <c r="G537" s="64">
        <f>G539+G540+G541+G542+G543+G544+G545+G549+G550+G551+G552+G553+G554+G556+G557</f>
        <v>402505</v>
      </c>
      <c r="H537" s="64">
        <f>H539+H540+H541+H542+H543+H544+H545+H549+H550+H551+H552+H553+H554+H556+H557</f>
        <v>339529.50999999995</v>
      </c>
      <c r="I537" s="199">
        <f t="shared" si="28"/>
        <v>0.843541098868337</v>
      </c>
      <c r="J537" s="129">
        <f t="shared" si="29"/>
        <v>0.010685482291177637</v>
      </c>
    </row>
    <row r="538" spans="1:10" ht="12.75">
      <c r="A538" s="178">
        <f t="shared" si="31"/>
        <v>461</v>
      </c>
      <c r="B538" s="15">
        <v>3020</v>
      </c>
      <c r="C538" s="80" t="s">
        <v>266</v>
      </c>
      <c r="D538" s="25"/>
      <c r="E538" s="46" t="e">
        <f>SUM(#REF!)</f>
        <v>#REF!</v>
      </c>
      <c r="F538" s="28"/>
      <c r="G538" s="154"/>
      <c r="H538" s="154"/>
      <c r="I538" s="199"/>
      <c r="J538" s="129"/>
    </row>
    <row r="539" spans="1:10" ht="12.75">
      <c r="A539" s="178">
        <f t="shared" si="31"/>
        <v>462</v>
      </c>
      <c r="B539" s="15"/>
      <c r="C539" s="80" t="s">
        <v>568</v>
      </c>
      <c r="D539" s="25"/>
      <c r="E539" s="47"/>
      <c r="F539" s="154">
        <v>8000</v>
      </c>
      <c r="G539" s="154">
        <v>9500</v>
      </c>
      <c r="H539" s="154">
        <v>9486.11</v>
      </c>
      <c r="I539" s="199">
        <f t="shared" si="28"/>
        <v>0.9985378947368422</v>
      </c>
      <c r="J539" s="129">
        <f t="shared" si="29"/>
        <v>0.0002985415330089073</v>
      </c>
    </row>
    <row r="540" spans="1:10" ht="12.75">
      <c r="A540" s="178">
        <f t="shared" si="31"/>
        <v>463</v>
      </c>
      <c r="B540" s="15">
        <v>4010</v>
      </c>
      <c r="C540" s="123" t="s">
        <v>72</v>
      </c>
      <c r="D540" s="25"/>
      <c r="E540" s="47">
        <v>195000</v>
      </c>
      <c r="F540" s="154">
        <v>261500</v>
      </c>
      <c r="G540" s="154">
        <v>272700</v>
      </c>
      <c r="H540" s="154">
        <v>230870.84</v>
      </c>
      <c r="I540" s="199">
        <f t="shared" si="28"/>
        <v>0.8466110744407774</v>
      </c>
      <c r="J540" s="129">
        <f t="shared" si="29"/>
        <v>0.007265837577326655</v>
      </c>
    </row>
    <row r="541" spans="1:10" ht="12.75">
      <c r="A541" s="178">
        <f t="shared" si="31"/>
        <v>464</v>
      </c>
      <c r="B541" s="15">
        <v>4040</v>
      </c>
      <c r="C541" s="123" t="s">
        <v>28</v>
      </c>
      <c r="D541" s="25"/>
      <c r="E541" s="47">
        <v>15000</v>
      </c>
      <c r="F541" s="154">
        <v>18200</v>
      </c>
      <c r="G541" s="154">
        <v>17330</v>
      </c>
      <c r="H541" s="154">
        <v>17330</v>
      </c>
      <c r="I541" s="199">
        <f t="shared" si="28"/>
        <v>1</v>
      </c>
      <c r="J541" s="129">
        <f t="shared" si="29"/>
        <v>0.0005454000393253255</v>
      </c>
    </row>
    <row r="542" spans="1:10" ht="12.75">
      <c r="A542" s="178">
        <f t="shared" si="31"/>
        <v>465</v>
      </c>
      <c r="B542" s="15">
        <v>4110</v>
      </c>
      <c r="C542" s="123" t="s">
        <v>69</v>
      </c>
      <c r="D542" s="25"/>
      <c r="E542" s="46">
        <v>37100</v>
      </c>
      <c r="F542" s="154">
        <v>47400</v>
      </c>
      <c r="G542" s="154">
        <v>49300</v>
      </c>
      <c r="H542" s="154">
        <v>41253.56</v>
      </c>
      <c r="I542" s="199">
        <f t="shared" si="28"/>
        <v>0.8367862068965517</v>
      </c>
      <c r="J542" s="129">
        <f t="shared" si="29"/>
        <v>0.0012983089005372</v>
      </c>
    </row>
    <row r="543" spans="1:10" ht="12.75" customHeight="1">
      <c r="A543" s="178">
        <f t="shared" si="31"/>
        <v>466</v>
      </c>
      <c r="B543" s="15">
        <v>4120</v>
      </c>
      <c r="C543" s="123" t="s">
        <v>70</v>
      </c>
      <c r="D543" s="25"/>
      <c r="E543" s="46">
        <v>5100</v>
      </c>
      <c r="F543" s="154">
        <v>6750</v>
      </c>
      <c r="G543" s="154">
        <v>7050</v>
      </c>
      <c r="H543" s="154">
        <v>5902.24</v>
      </c>
      <c r="I543" s="199">
        <f t="shared" si="28"/>
        <v>0.8371971631205674</v>
      </c>
      <c r="J543" s="129">
        <f t="shared" si="29"/>
        <v>0.0001857519866190138</v>
      </c>
    </row>
    <row r="544" spans="1:10" ht="12.75" customHeight="1">
      <c r="A544" s="178">
        <f t="shared" si="31"/>
        <v>467</v>
      </c>
      <c r="B544" s="15">
        <v>4140</v>
      </c>
      <c r="C544" s="123" t="s">
        <v>177</v>
      </c>
      <c r="D544" s="25"/>
      <c r="E544" s="46">
        <v>1200</v>
      </c>
      <c r="F544" s="154">
        <v>2850</v>
      </c>
      <c r="G544" s="154">
        <v>4300</v>
      </c>
      <c r="H544" s="154">
        <v>4190.6</v>
      </c>
      <c r="I544" s="199">
        <f t="shared" si="28"/>
        <v>0.9745581395348838</v>
      </c>
      <c r="J544" s="129">
        <f t="shared" si="29"/>
        <v>0.000131884212625315</v>
      </c>
    </row>
    <row r="545" spans="1:10" ht="12.75">
      <c r="A545" s="178">
        <f t="shared" si="31"/>
        <v>468</v>
      </c>
      <c r="B545" s="15">
        <v>4210</v>
      </c>
      <c r="C545" s="123" t="s">
        <v>153</v>
      </c>
      <c r="D545" s="25"/>
      <c r="E545" s="52">
        <f>SUM(E547:E548)</f>
        <v>7000</v>
      </c>
      <c r="F545" s="165">
        <f>SUM(F547:F548)</f>
        <v>11000</v>
      </c>
      <c r="G545" s="165">
        <f>SUM(G547:G548)</f>
        <v>12645</v>
      </c>
      <c r="H545" s="165">
        <f>SUM(H547:H548)</f>
        <v>9843.95</v>
      </c>
      <c r="I545" s="199">
        <f t="shared" si="28"/>
        <v>0.7784855674179518</v>
      </c>
      <c r="J545" s="129">
        <f t="shared" si="29"/>
        <v>0.00030980327277071773</v>
      </c>
    </row>
    <row r="546" spans="1:10" ht="12.75">
      <c r="A546" s="178">
        <f t="shared" si="31"/>
        <v>469</v>
      </c>
      <c r="B546" s="15"/>
      <c r="C546" s="123" t="s">
        <v>15</v>
      </c>
      <c r="D546" s="25"/>
      <c r="E546" s="46"/>
      <c r="F546" s="154"/>
      <c r="G546" s="154"/>
      <c r="H546" s="154"/>
      <c r="I546" s="199"/>
      <c r="J546" s="129"/>
    </row>
    <row r="547" spans="1:10" ht="12.75">
      <c r="A547" s="178">
        <f t="shared" si="31"/>
        <v>470</v>
      </c>
      <c r="B547" s="15"/>
      <c r="C547" s="123" t="s">
        <v>102</v>
      </c>
      <c r="D547" s="25"/>
      <c r="E547" s="47">
        <v>6000</v>
      </c>
      <c r="F547" s="154">
        <v>8000</v>
      </c>
      <c r="G547" s="154">
        <v>5850</v>
      </c>
      <c r="H547" s="154">
        <v>4629.1</v>
      </c>
      <c r="I547" s="199">
        <f t="shared" si="28"/>
        <v>0.7912991452991454</v>
      </c>
      <c r="J547" s="129">
        <f t="shared" si="29"/>
        <v>0.00014568443866363903</v>
      </c>
    </row>
    <row r="548" spans="1:10" ht="12.75">
      <c r="A548" s="178">
        <f t="shared" si="31"/>
        <v>471</v>
      </c>
      <c r="B548" s="15"/>
      <c r="C548" s="123" t="s">
        <v>569</v>
      </c>
      <c r="D548" s="25"/>
      <c r="E548" s="47">
        <v>1000</v>
      </c>
      <c r="F548" s="154">
        <v>3000</v>
      </c>
      <c r="G548" s="154">
        <v>6795</v>
      </c>
      <c r="H548" s="154">
        <v>5214.85</v>
      </c>
      <c r="I548" s="199">
        <f t="shared" si="28"/>
        <v>0.7674540103016925</v>
      </c>
      <c r="J548" s="129">
        <f t="shared" si="29"/>
        <v>0.0001641188341070787</v>
      </c>
    </row>
    <row r="549" spans="1:10" ht="12.75">
      <c r="A549" s="178">
        <f t="shared" si="31"/>
        <v>472</v>
      </c>
      <c r="B549" s="15">
        <v>4270</v>
      </c>
      <c r="C549" s="123" t="s">
        <v>152</v>
      </c>
      <c r="D549" s="25"/>
      <c r="E549" s="47"/>
      <c r="F549" s="154">
        <v>1000</v>
      </c>
      <c r="G549" s="154">
        <v>4200</v>
      </c>
      <c r="H549" s="154">
        <v>3286.85</v>
      </c>
      <c r="I549" s="199">
        <f t="shared" si="28"/>
        <v>0.7825833333333333</v>
      </c>
      <c r="J549" s="129">
        <f t="shared" si="29"/>
        <v>0.00010344189955317057</v>
      </c>
    </row>
    <row r="550" spans="1:10" ht="12.75">
      <c r="A550" s="178">
        <f t="shared" si="31"/>
        <v>473</v>
      </c>
      <c r="B550" s="15">
        <v>4280</v>
      </c>
      <c r="C550" s="123" t="s">
        <v>326</v>
      </c>
      <c r="D550" s="25"/>
      <c r="E550" s="47"/>
      <c r="F550" s="154">
        <v>1800</v>
      </c>
      <c r="G550" s="154">
        <v>2450</v>
      </c>
      <c r="H550" s="154">
        <v>2450</v>
      </c>
      <c r="I550" s="199">
        <f t="shared" si="28"/>
        <v>1</v>
      </c>
      <c r="J550" s="129">
        <f t="shared" si="29"/>
        <v>7.710502575574423E-05</v>
      </c>
    </row>
    <row r="551" spans="1:10" ht="12.75">
      <c r="A551" s="178">
        <f t="shared" si="31"/>
        <v>474</v>
      </c>
      <c r="B551" s="15">
        <v>4300</v>
      </c>
      <c r="C551" s="123" t="s">
        <v>151</v>
      </c>
      <c r="D551" s="25"/>
      <c r="E551" s="47">
        <v>9000</v>
      </c>
      <c r="F551" s="154">
        <v>6000</v>
      </c>
      <c r="G551" s="154">
        <v>2800</v>
      </c>
      <c r="H551" s="154">
        <v>446.29</v>
      </c>
      <c r="I551" s="199">
        <f t="shared" si="28"/>
        <v>0.15938928571428573</v>
      </c>
      <c r="J551" s="129">
        <f t="shared" si="29"/>
        <v>1.4045388548788201E-05</v>
      </c>
    </row>
    <row r="552" spans="1:10" ht="12.75">
      <c r="A552" s="178">
        <f t="shared" si="31"/>
        <v>475</v>
      </c>
      <c r="B552" s="15">
        <v>4410</v>
      </c>
      <c r="C552" s="123" t="s">
        <v>68</v>
      </c>
      <c r="D552" s="25"/>
      <c r="E552" s="52">
        <v>400</v>
      </c>
      <c r="F552" s="168">
        <v>3000</v>
      </c>
      <c r="G552" s="168">
        <v>3000</v>
      </c>
      <c r="H552" s="168">
        <v>879.07</v>
      </c>
      <c r="I552" s="199">
        <f t="shared" si="28"/>
        <v>0.29302333333333336</v>
      </c>
      <c r="J552" s="129">
        <f t="shared" si="29"/>
        <v>2.766559795555187E-05</v>
      </c>
    </row>
    <row r="553" spans="1:10" ht="12.75">
      <c r="A553" s="178">
        <f t="shared" si="31"/>
        <v>476</v>
      </c>
      <c r="B553" s="15">
        <v>4430</v>
      </c>
      <c r="C553" s="123" t="s">
        <v>94</v>
      </c>
      <c r="D553" s="25"/>
      <c r="E553" s="47">
        <v>3500</v>
      </c>
      <c r="F553" s="154">
        <v>6000</v>
      </c>
      <c r="G553" s="154">
        <v>6000</v>
      </c>
      <c r="H553" s="154">
        <v>2640</v>
      </c>
      <c r="I553" s="199">
        <f t="shared" si="28"/>
        <v>0.44</v>
      </c>
      <c r="J553" s="129">
        <f t="shared" si="29"/>
        <v>8.30845991816999E-05</v>
      </c>
    </row>
    <row r="554" spans="1:10" ht="12.75">
      <c r="A554" s="178">
        <f t="shared" si="31"/>
        <v>477</v>
      </c>
      <c r="B554" s="15">
        <v>4440</v>
      </c>
      <c r="C554" s="123" t="s">
        <v>104</v>
      </c>
      <c r="D554" s="25"/>
      <c r="E554" s="47">
        <v>2900</v>
      </c>
      <c r="F554" s="154">
        <v>4674</v>
      </c>
      <c r="G554" s="154">
        <v>5230</v>
      </c>
      <c r="H554" s="154">
        <v>5230</v>
      </c>
      <c r="I554" s="199">
        <f t="shared" si="28"/>
        <v>1</v>
      </c>
      <c r="J554" s="129">
        <f t="shared" si="29"/>
        <v>0.00016459562640920095</v>
      </c>
    </row>
    <row r="555" spans="1:10" ht="12.75">
      <c r="A555" s="178">
        <f t="shared" si="31"/>
        <v>478</v>
      </c>
      <c r="B555" s="15">
        <v>4700</v>
      </c>
      <c r="C555" s="123" t="s">
        <v>398</v>
      </c>
      <c r="D555" s="25"/>
      <c r="E555" s="47"/>
      <c r="F555" s="154"/>
      <c r="G555" s="154"/>
      <c r="H555" s="154"/>
      <c r="I555" s="199"/>
      <c r="J555" s="129"/>
    </row>
    <row r="556" spans="1:10" ht="12.75">
      <c r="A556" s="178">
        <f t="shared" si="31"/>
        <v>479</v>
      </c>
      <c r="B556" s="15"/>
      <c r="C556" s="123" t="s">
        <v>397</v>
      </c>
      <c r="D556" s="25"/>
      <c r="E556" s="47"/>
      <c r="F556" s="154">
        <v>6000</v>
      </c>
      <c r="G556" s="154">
        <v>6000</v>
      </c>
      <c r="H556" s="154">
        <v>5720</v>
      </c>
      <c r="I556" s="199">
        <f t="shared" si="28"/>
        <v>0.9533333333333334</v>
      </c>
      <c r="J556" s="129">
        <f t="shared" si="29"/>
        <v>0.00018001663156034977</v>
      </c>
    </row>
    <row r="557" spans="1:10" ht="12.75">
      <c r="A557" s="178">
        <f t="shared" si="31"/>
        <v>480</v>
      </c>
      <c r="B557" s="15">
        <v>6060</v>
      </c>
      <c r="C557" s="123" t="s">
        <v>173</v>
      </c>
      <c r="D557" s="25"/>
      <c r="E557" s="47"/>
      <c r="F557" s="154">
        <v>5000</v>
      </c>
      <c r="G557" s="154">
        <v>0</v>
      </c>
      <c r="H557" s="154">
        <v>0</v>
      </c>
      <c r="I557" s="199"/>
      <c r="J557" s="129">
        <f t="shared" si="29"/>
        <v>0</v>
      </c>
    </row>
    <row r="558" spans="1:10" ht="12.75">
      <c r="A558" s="178">
        <f t="shared" si="31"/>
        <v>481</v>
      </c>
      <c r="B558" s="179">
        <v>75495</v>
      </c>
      <c r="C558" s="180" t="s">
        <v>25</v>
      </c>
      <c r="D558" s="175"/>
      <c r="E558" s="181"/>
      <c r="F558" s="182">
        <f>SUM(F560:F565)</f>
        <v>3000</v>
      </c>
      <c r="G558" s="182">
        <f>SUM(G560:G565)</f>
        <v>6000</v>
      </c>
      <c r="H558" s="182">
        <f>SUM(H560:H565)</f>
        <v>3749</v>
      </c>
      <c r="I558" s="199">
        <f t="shared" si="28"/>
        <v>0.6248333333333334</v>
      </c>
      <c r="J558" s="129">
        <f t="shared" si="29"/>
        <v>0.00011798642512583065</v>
      </c>
    </row>
    <row r="559" spans="1:10" s="223" customFormat="1" ht="12.75">
      <c r="A559" s="178">
        <f t="shared" si="31"/>
        <v>482</v>
      </c>
      <c r="B559" s="246">
        <v>2310</v>
      </c>
      <c r="C559" s="247" t="s">
        <v>651</v>
      </c>
      <c r="D559" s="161"/>
      <c r="E559" s="220"/>
      <c r="F559" s="221"/>
      <c r="G559" s="221"/>
      <c r="H559" s="221"/>
      <c r="I559" s="245"/>
      <c r="J559" s="151"/>
    </row>
    <row r="560" spans="1:10" s="223" customFormat="1" ht="12.75">
      <c r="A560" s="178">
        <f t="shared" si="31"/>
        <v>483</v>
      </c>
      <c r="B560" s="246"/>
      <c r="C560" s="247" t="s">
        <v>650</v>
      </c>
      <c r="D560" s="161"/>
      <c r="E560" s="220"/>
      <c r="F560" s="221">
        <v>0</v>
      </c>
      <c r="G560" s="221">
        <v>3000</v>
      </c>
      <c r="H560" s="221">
        <v>3000</v>
      </c>
      <c r="I560" s="199">
        <f>H560/G560</f>
        <v>1</v>
      </c>
      <c r="J560" s="129">
        <f>H560/H$54</f>
        <v>9.441431725193171E-05</v>
      </c>
    </row>
    <row r="561" spans="1:10" ht="12.75">
      <c r="A561" s="178">
        <f t="shared" si="31"/>
        <v>484</v>
      </c>
      <c r="B561" s="15">
        <v>4260</v>
      </c>
      <c r="C561" s="123" t="s">
        <v>363</v>
      </c>
      <c r="D561" s="25"/>
      <c r="E561" s="47"/>
      <c r="F561" s="154">
        <v>3000</v>
      </c>
      <c r="G561" s="154">
        <v>3000</v>
      </c>
      <c r="H561" s="154">
        <v>749</v>
      </c>
      <c r="I561" s="199">
        <f t="shared" si="28"/>
        <v>0.24966666666666668</v>
      </c>
      <c r="J561" s="129">
        <f t="shared" si="29"/>
        <v>2.357210787389895E-05</v>
      </c>
    </row>
    <row r="562" spans="1:10" ht="12.75">
      <c r="A562" s="178">
        <f t="shared" si="31"/>
        <v>485</v>
      </c>
      <c r="B562" s="15">
        <v>6050</v>
      </c>
      <c r="C562" s="80" t="s">
        <v>212</v>
      </c>
      <c r="D562" s="25"/>
      <c r="E562" s="47"/>
      <c r="F562" s="154"/>
      <c r="G562" s="154"/>
      <c r="H562" s="154"/>
      <c r="I562" s="199"/>
      <c r="J562" s="129"/>
    </row>
    <row r="563" spans="1:10" ht="12.75">
      <c r="A563" s="178">
        <f t="shared" si="31"/>
        <v>486</v>
      </c>
      <c r="B563" s="15"/>
      <c r="C563" s="123" t="s">
        <v>570</v>
      </c>
      <c r="D563" s="25"/>
      <c r="E563" s="47"/>
      <c r="F563" s="154"/>
      <c r="G563" s="154"/>
      <c r="H563" s="154"/>
      <c r="I563" s="199"/>
      <c r="J563" s="129"/>
    </row>
    <row r="564" spans="1:10" ht="12.75">
      <c r="A564" s="178">
        <f t="shared" si="31"/>
        <v>487</v>
      </c>
      <c r="B564" s="15"/>
      <c r="C564" s="123" t="s">
        <v>571</v>
      </c>
      <c r="D564" s="25"/>
      <c r="E564" s="47"/>
      <c r="F564" s="154"/>
      <c r="G564" s="154"/>
      <c r="H564" s="154"/>
      <c r="I564" s="199"/>
      <c r="J564" s="129"/>
    </row>
    <row r="565" spans="1:10" ht="12.75">
      <c r="A565" s="178">
        <f t="shared" si="31"/>
        <v>488</v>
      </c>
      <c r="B565" s="15"/>
      <c r="C565" s="123" t="s">
        <v>572</v>
      </c>
      <c r="D565" s="25"/>
      <c r="E565" s="47"/>
      <c r="F565" s="154">
        <v>0</v>
      </c>
      <c r="G565" s="154">
        <v>0</v>
      </c>
      <c r="H565" s="154">
        <v>0</v>
      </c>
      <c r="I565" s="199"/>
      <c r="J565" s="129">
        <f aca="true" t="shared" si="32" ref="J565:J628">H565/H$54</f>
        <v>0</v>
      </c>
    </row>
    <row r="566" spans="1:10" s="71" customFormat="1" ht="12.75">
      <c r="A566" s="178">
        <f t="shared" si="31"/>
        <v>489</v>
      </c>
      <c r="B566" s="77">
        <v>757</v>
      </c>
      <c r="C566" s="81" t="s">
        <v>125</v>
      </c>
      <c r="D566" s="59"/>
      <c r="E566" s="60" t="e">
        <f>E568</f>
        <v>#REF!</v>
      </c>
      <c r="F566" s="59">
        <f>F568</f>
        <v>528968.34</v>
      </c>
      <c r="G566" s="59">
        <f>G568</f>
        <v>251968.34</v>
      </c>
      <c r="H566" s="59">
        <f>H568</f>
        <v>215294.05000000002</v>
      </c>
      <c r="I566" s="199">
        <f t="shared" si="28"/>
        <v>0.8544488168632616</v>
      </c>
      <c r="J566" s="129">
        <f t="shared" si="32"/>
        <v>0.006775613579717749</v>
      </c>
    </row>
    <row r="567" spans="1:10" s="74" customFormat="1" ht="12.75">
      <c r="A567" s="178">
        <f t="shared" si="31"/>
        <v>490</v>
      </c>
      <c r="B567" s="76">
        <v>75702</v>
      </c>
      <c r="C567" s="124" t="s">
        <v>126</v>
      </c>
      <c r="D567" s="64"/>
      <c r="E567" s="73"/>
      <c r="F567" s="164"/>
      <c r="G567" s="164"/>
      <c r="H567" s="164"/>
      <c r="I567" s="199"/>
      <c r="J567" s="132"/>
    </row>
    <row r="568" spans="1:10" s="71" customFormat="1" ht="12.75">
      <c r="A568" s="178">
        <f t="shared" si="31"/>
        <v>491</v>
      </c>
      <c r="B568" s="77"/>
      <c r="C568" s="124" t="s">
        <v>127</v>
      </c>
      <c r="D568" s="59"/>
      <c r="E568" s="65" t="e">
        <f>E569+E573</f>
        <v>#REF!</v>
      </c>
      <c r="F568" s="64">
        <f>F569+F571+F573</f>
        <v>528968.34</v>
      </c>
      <c r="G568" s="64">
        <f>G569+G571+G573</f>
        <v>251968.34</v>
      </c>
      <c r="H568" s="64">
        <f>H569+H571+H573</f>
        <v>215294.05000000002</v>
      </c>
      <c r="I568" s="199">
        <f t="shared" si="28"/>
        <v>0.8544488168632616</v>
      </c>
      <c r="J568" s="129">
        <f t="shared" si="32"/>
        <v>0.006775613579717749</v>
      </c>
    </row>
    <row r="569" spans="1:10" ht="12.75">
      <c r="A569" s="178">
        <f t="shared" si="31"/>
        <v>492</v>
      </c>
      <c r="B569" s="4">
        <v>4300</v>
      </c>
      <c r="C569" s="80" t="s">
        <v>151</v>
      </c>
      <c r="D569" s="25"/>
      <c r="E569" s="48" t="e">
        <f>SUM(#REF!)</f>
        <v>#REF!</v>
      </c>
      <c r="F569" s="23">
        <v>2000</v>
      </c>
      <c r="G569" s="166">
        <v>0</v>
      </c>
      <c r="H569" s="166">
        <v>0</v>
      </c>
      <c r="I569" s="199"/>
      <c r="J569" s="129">
        <f t="shared" si="32"/>
        <v>0</v>
      </c>
    </row>
    <row r="570" spans="1:10" ht="12.75">
      <c r="A570" s="178">
        <f t="shared" si="31"/>
        <v>493</v>
      </c>
      <c r="B570" s="4">
        <v>8010</v>
      </c>
      <c r="C570" s="80" t="s">
        <v>573</v>
      </c>
      <c r="D570" s="25"/>
      <c r="E570" s="48"/>
      <c r="F570" s="166"/>
      <c r="G570" s="166"/>
      <c r="H570" s="166"/>
      <c r="I570" s="199"/>
      <c r="J570" s="129"/>
    </row>
    <row r="571" spans="1:10" ht="12.75">
      <c r="A571" s="178">
        <f t="shared" si="31"/>
        <v>494</v>
      </c>
      <c r="B571" s="4"/>
      <c r="C571" s="80" t="s">
        <v>574</v>
      </c>
      <c r="D571" s="25"/>
      <c r="E571" s="48"/>
      <c r="F571" s="166">
        <v>0</v>
      </c>
      <c r="G571" s="166">
        <v>0</v>
      </c>
      <c r="H571" s="166">
        <v>0</v>
      </c>
      <c r="I571" s="199"/>
      <c r="J571" s="129">
        <f t="shared" si="32"/>
        <v>0</v>
      </c>
    </row>
    <row r="572" spans="1:10" ht="12.75">
      <c r="A572" s="178">
        <f t="shared" si="31"/>
        <v>495</v>
      </c>
      <c r="B572" s="4">
        <v>8070</v>
      </c>
      <c r="C572" s="80" t="s">
        <v>157</v>
      </c>
      <c r="D572" s="25"/>
      <c r="E572" s="48"/>
      <c r="F572" s="166"/>
      <c r="G572" s="166"/>
      <c r="H572" s="166"/>
      <c r="I572" s="199"/>
      <c r="J572" s="129"/>
    </row>
    <row r="573" spans="1:10" ht="12.75">
      <c r="A573" s="178">
        <f t="shared" si="31"/>
        <v>496</v>
      </c>
      <c r="B573" s="4"/>
      <c r="C573" s="80" t="s">
        <v>158</v>
      </c>
      <c r="D573" s="25"/>
      <c r="E573" s="48">
        <f>SUM(E575:E578)</f>
        <v>603500</v>
      </c>
      <c r="F573" s="23">
        <f>SUM(F575:F579)</f>
        <v>526968.34</v>
      </c>
      <c r="G573" s="23">
        <f>SUM(G575:G579)</f>
        <v>251968.34</v>
      </c>
      <c r="H573" s="23">
        <f>SUM(H575:H579)</f>
        <v>215294.05000000002</v>
      </c>
      <c r="I573" s="199">
        <f aca="true" t="shared" si="33" ref="I573:I634">H573/G573</f>
        <v>0.8544488168632616</v>
      </c>
      <c r="J573" s="129">
        <f t="shared" si="32"/>
        <v>0.006775613579717749</v>
      </c>
    </row>
    <row r="574" spans="1:10" ht="12.75">
      <c r="A574" s="178">
        <f t="shared" si="31"/>
        <v>497</v>
      </c>
      <c r="B574" s="4"/>
      <c r="C574" s="80" t="s">
        <v>15</v>
      </c>
      <c r="D574" s="25"/>
      <c r="E574" s="47"/>
      <c r="F574" s="154"/>
      <c r="G574" s="154"/>
      <c r="H574" s="154"/>
      <c r="I574" s="199"/>
      <c r="J574" s="129"/>
    </row>
    <row r="575" spans="1:10" ht="12.75">
      <c r="A575" s="178">
        <f t="shared" si="31"/>
        <v>498</v>
      </c>
      <c r="B575" s="4"/>
      <c r="C575" s="123" t="s">
        <v>233</v>
      </c>
      <c r="D575" s="25"/>
      <c r="E575" s="47">
        <v>26400</v>
      </c>
      <c r="F575" s="23">
        <v>230000</v>
      </c>
      <c r="G575" s="166">
        <v>230000</v>
      </c>
      <c r="H575" s="166">
        <v>199922.6</v>
      </c>
      <c r="I575" s="199">
        <f t="shared" si="33"/>
        <v>0.869228695652174</v>
      </c>
      <c r="J575" s="129">
        <f t="shared" si="32"/>
        <v>0.0062918519274103475</v>
      </c>
    </row>
    <row r="576" spans="1:10" ht="12.75">
      <c r="A576" s="178">
        <f t="shared" si="31"/>
        <v>499</v>
      </c>
      <c r="B576" s="4"/>
      <c r="C576" s="80" t="s">
        <v>193</v>
      </c>
      <c r="D576" s="25"/>
      <c r="E576" s="47">
        <v>48600</v>
      </c>
      <c r="F576" s="23">
        <f>500-31.66</f>
        <v>468.34</v>
      </c>
      <c r="G576" s="166">
        <v>468.34</v>
      </c>
      <c r="H576" s="166">
        <v>56.98</v>
      </c>
      <c r="I576" s="199">
        <f t="shared" si="33"/>
        <v>0.12166374855873938</v>
      </c>
      <c r="J576" s="129">
        <f t="shared" si="32"/>
        <v>1.7932425990050228E-06</v>
      </c>
    </row>
    <row r="577" spans="1:10" ht="12.75">
      <c r="A577" s="178">
        <f t="shared" si="31"/>
        <v>500</v>
      </c>
      <c r="B577" s="4"/>
      <c r="C577" s="80" t="s">
        <v>174</v>
      </c>
      <c r="D577" s="25"/>
      <c r="E577" s="47">
        <v>68500</v>
      </c>
      <c r="F577" s="23">
        <v>50000</v>
      </c>
      <c r="G577" s="166">
        <v>0</v>
      </c>
      <c r="H577" s="166">
        <v>0</v>
      </c>
      <c r="I577" s="199"/>
      <c r="J577" s="129">
        <f t="shared" si="32"/>
        <v>0</v>
      </c>
    </row>
    <row r="578" spans="1:10" ht="12.75">
      <c r="A578" s="178">
        <f aca="true" t="shared" si="34" ref="A578:A591">A577+1</f>
        <v>501</v>
      </c>
      <c r="B578" s="4"/>
      <c r="C578" s="123" t="s">
        <v>232</v>
      </c>
      <c r="D578" s="25"/>
      <c r="E578" s="47">
        <v>460000</v>
      </c>
      <c r="F578" s="23">
        <v>21500</v>
      </c>
      <c r="G578" s="166">
        <v>21500</v>
      </c>
      <c r="H578" s="166">
        <v>15314.47</v>
      </c>
      <c r="I578" s="199">
        <f t="shared" si="33"/>
        <v>0.7123009302325581</v>
      </c>
      <c r="J578" s="129">
        <f t="shared" si="32"/>
        <v>0.0004819684097083968</v>
      </c>
    </row>
    <row r="579" spans="1:10" s="61" customFormat="1" ht="12.75">
      <c r="A579" s="178">
        <f t="shared" si="34"/>
        <v>502</v>
      </c>
      <c r="B579" s="103"/>
      <c r="C579" s="123" t="s">
        <v>402</v>
      </c>
      <c r="D579" s="85"/>
      <c r="E579" s="84"/>
      <c r="F579" s="23">
        <f>224968.34+31.66</f>
        <v>225000</v>
      </c>
      <c r="G579" s="166">
        <v>0</v>
      </c>
      <c r="H579" s="166">
        <v>0</v>
      </c>
      <c r="I579" s="199"/>
      <c r="J579" s="129">
        <f t="shared" si="32"/>
        <v>0</v>
      </c>
    </row>
    <row r="580" spans="1:10" s="71" customFormat="1" ht="12.75">
      <c r="A580" s="178">
        <f t="shared" si="34"/>
        <v>503</v>
      </c>
      <c r="B580" s="77">
        <v>758</v>
      </c>
      <c r="C580" s="81" t="s">
        <v>106</v>
      </c>
      <c r="D580" s="59"/>
      <c r="E580" s="60">
        <f>E581+E583</f>
        <v>183335</v>
      </c>
      <c r="F580" s="59">
        <f>F581+F583</f>
        <v>201202.44</v>
      </c>
      <c r="G580" s="59">
        <f>G581+G583</f>
        <v>119277.44</v>
      </c>
      <c r="H580" s="59">
        <f>H581+H583</f>
        <v>11899</v>
      </c>
      <c r="I580" s="199">
        <f t="shared" si="33"/>
        <v>0.09975901561938284</v>
      </c>
      <c r="J580" s="129">
        <f t="shared" si="32"/>
        <v>0.0003744786536602451</v>
      </c>
    </row>
    <row r="581" spans="1:10" s="74" customFormat="1" ht="12.75">
      <c r="A581" s="178">
        <f t="shared" si="34"/>
        <v>504</v>
      </c>
      <c r="B581" s="76">
        <v>75814</v>
      </c>
      <c r="C581" s="124" t="s">
        <v>175</v>
      </c>
      <c r="D581" s="64"/>
      <c r="E581" s="65">
        <f>E582</f>
        <v>33335</v>
      </c>
      <c r="F581" s="64">
        <f>F582</f>
        <v>11899</v>
      </c>
      <c r="G581" s="64">
        <f aca="true" t="shared" si="35" ref="G581:H583">G582</f>
        <v>11899</v>
      </c>
      <c r="H581" s="64">
        <f t="shared" si="35"/>
        <v>11899</v>
      </c>
      <c r="I581" s="199">
        <f t="shared" si="33"/>
        <v>1</v>
      </c>
      <c r="J581" s="129">
        <f t="shared" si="32"/>
        <v>0.0003744786536602451</v>
      </c>
    </row>
    <row r="582" spans="1:10" s="61" customFormat="1" ht="12.75">
      <c r="A582" s="178">
        <f t="shared" si="34"/>
        <v>505</v>
      </c>
      <c r="B582" s="98">
        <v>2930</v>
      </c>
      <c r="C582" s="123" t="s">
        <v>176</v>
      </c>
      <c r="D582" s="85"/>
      <c r="E582" s="83">
        <v>33335</v>
      </c>
      <c r="F582" s="160">
        <v>11899</v>
      </c>
      <c r="G582" s="28">
        <v>11899</v>
      </c>
      <c r="H582" s="28">
        <v>11899</v>
      </c>
      <c r="I582" s="199">
        <f t="shared" si="33"/>
        <v>1</v>
      </c>
      <c r="J582" s="129">
        <f t="shared" si="32"/>
        <v>0.0003744786536602451</v>
      </c>
    </row>
    <row r="583" spans="1:10" s="74" customFormat="1" ht="12.75">
      <c r="A583" s="178">
        <f t="shared" si="34"/>
        <v>506</v>
      </c>
      <c r="B583" s="76">
        <v>75818</v>
      </c>
      <c r="C583" s="124" t="s">
        <v>107</v>
      </c>
      <c r="D583" s="64"/>
      <c r="E583" s="65">
        <f>E584</f>
        <v>150000</v>
      </c>
      <c r="F583" s="64">
        <f>F584</f>
        <v>189303.44</v>
      </c>
      <c r="G583" s="64">
        <f t="shared" si="35"/>
        <v>107378.44</v>
      </c>
      <c r="H583" s="64">
        <f t="shared" si="35"/>
        <v>0</v>
      </c>
      <c r="I583" s="199">
        <f t="shared" si="33"/>
        <v>0</v>
      </c>
      <c r="J583" s="129">
        <f t="shared" si="32"/>
        <v>0</v>
      </c>
    </row>
    <row r="584" spans="1:10" ht="12.75">
      <c r="A584" s="178">
        <f t="shared" si="34"/>
        <v>507</v>
      </c>
      <c r="B584" s="14">
        <v>4810</v>
      </c>
      <c r="C584" s="122" t="s">
        <v>108</v>
      </c>
      <c r="D584" s="28">
        <f>SUM(D585:D586)</f>
        <v>0</v>
      </c>
      <c r="E584" s="46">
        <f>SUM(E586:E586)</f>
        <v>150000</v>
      </c>
      <c r="F584" s="28">
        <f>SUM(F586:F586)</f>
        <v>189303.44</v>
      </c>
      <c r="G584" s="28">
        <f>SUM(G586:G586)</f>
        <v>107378.44</v>
      </c>
      <c r="H584" s="28">
        <f>SUM(H586:H586)</f>
        <v>0</v>
      </c>
      <c r="I584" s="199">
        <f t="shared" si="33"/>
        <v>0</v>
      </c>
      <c r="J584" s="129">
        <f t="shared" si="32"/>
        <v>0</v>
      </c>
    </row>
    <row r="585" spans="1:10" ht="12.75">
      <c r="A585" s="178">
        <f t="shared" si="34"/>
        <v>508</v>
      </c>
      <c r="B585" s="14"/>
      <c r="C585" s="122" t="s">
        <v>15</v>
      </c>
      <c r="D585" s="25"/>
      <c r="E585" s="47"/>
      <c r="F585" s="154"/>
      <c r="G585" s="154"/>
      <c r="H585" s="154"/>
      <c r="I585" s="199"/>
      <c r="J585" s="129"/>
    </row>
    <row r="586" spans="1:10" ht="12.75">
      <c r="A586" s="178">
        <f t="shared" si="34"/>
        <v>509</v>
      </c>
      <c r="B586" s="4"/>
      <c r="C586" s="80" t="s">
        <v>109</v>
      </c>
      <c r="D586" s="25"/>
      <c r="E586" s="47">
        <v>150000</v>
      </c>
      <c r="F586" s="154">
        <f>200000-10696.56</f>
        <v>189303.44</v>
      </c>
      <c r="G586" s="154">
        <v>107378.44</v>
      </c>
      <c r="H586" s="154">
        <v>0</v>
      </c>
      <c r="I586" s="199">
        <f t="shared" si="33"/>
        <v>0</v>
      </c>
      <c r="J586" s="129">
        <f t="shared" si="32"/>
        <v>0</v>
      </c>
    </row>
    <row r="587" spans="1:10" ht="15">
      <c r="A587" s="178">
        <f t="shared" si="34"/>
        <v>510</v>
      </c>
      <c r="B587" s="9">
        <v>801</v>
      </c>
      <c r="C587" s="79" t="s">
        <v>8</v>
      </c>
      <c r="D587" s="25"/>
      <c r="E587" s="51" t="e">
        <f>E588+E720+E749+E781+E807</f>
        <v>#REF!</v>
      </c>
      <c r="F587" s="171">
        <f>F588+F713+F720+F749+F781+F785+F807</f>
        <v>7464660.56</v>
      </c>
      <c r="G587" s="171">
        <f>G588+G713+G720+G749+G781+G785+G807</f>
        <v>8520137.82</v>
      </c>
      <c r="H587" s="171">
        <f>H588+H713+H720+H749+H781+H785+H807</f>
        <v>7667661.859999999</v>
      </c>
      <c r="I587" s="199">
        <f t="shared" si="33"/>
        <v>0.8999457546333446</v>
      </c>
      <c r="J587" s="129">
        <f t="shared" si="32"/>
        <v>0.24131235314352556</v>
      </c>
    </row>
    <row r="588" spans="1:10" ht="12.75">
      <c r="A588" s="178">
        <f t="shared" si="34"/>
        <v>511</v>
      </c>
      <c r="B588" s="11">
        <v>80101</v>
      </c>
      <c r="C588" s="69" t="s">
        <v>194</v>
      </c>
      <c r="D588" s="26"/>
      <c r="E588" s="45" t="e">
        <f>E589+E597+E601+E605+E609+E613+#REF!+E625+E631+E636+E642+E646+E657+E672+E680+E682+E686+E707</f>
        <v>#REF!</v>
      </c>
      <c r="F588" s="26">
        <f>F589+F593+F597+F601+F605+F609+F613+F617+F621+F625+F630+F631+F636+F641+F642+F646+F650+F657+F662+F663+F668+F672+F676+F681+F682+F686+F690+F692+F697+F702+F707+F711</f>
        <v>3104998.5599999996</v>
      </c>
      <c r="G588" s="26">
        <f>G589+G593+G597+G601+G605+G609+G613+G617+G621+G625+G630+G631+G636+G641+G642+G646+G650+G657+G662+G663+G668+G672+G676+G681+G682+G686+G690+G692+G697+G702+G707+G711</f>
        <v>3490991.0400000005</v>
      </c>
      <c r="H588" s="26">
        <f>H589+H593+H597+H601+H605+H609+H613+H617+H621+H625+H630+H631+H636+H641+H642+H646+H650+H657+H662+H663+H668+H672+H676+H681+H682+H686+H690+H692+H697+H702+H707+H711</f>
        <v>3229532.5500000003</v>
      </c>
      <c r="I588" s="199">
        <f t="shared" si="33"/>
        <v>0.92510479488369</v>
      </c>
      <c r="J588" s="129">
        <f t="shared" si="32"/>
        <v>0.10163803691704668</v>
      </c>
    </row>
    <row r="589" spans="1:10" ht="12.75">
      <c r="A589" s="178">
        <f t="shared" si="34"/>
        <v>512</v>
      </c>
      <c r="B589" s="4">
        <v>3020</v>
      </c>
      <c r="C589" s="80" t="s">
        <v>266</v>
      </c>
      <c r="D589" s="25"/>
      <c r="E589" s="48">
        <f>SUM(E591:E592)</f>
        <v>38200</v>
      </c>
      <c r="F589" s="23">
        <f>SUM(F591:F592)</f>
        <v>40476</v>
      </c>
      <c r="G589" s="23">
        <f>SUM(G591:G592)</f>
        <v>41466</v>
      </c>
      <c r="H589" s="23">
        <f>SUM(H591:H592)</f>
        <v>35095.71</v>
      </c>
      <c r="I589" s="199">
        <f t="shared" si="33"/>
        <v>0.8463731732021414</v>
      </c>
      <c r="J589" s="129">
        <f t="shared" si="32"/>
        <v>0.0011045124993739306</v>
      </c>
    </row>
    <row r="590" spans="1:10" ht="12.75">
      <c r="A590" s="178">
        <f t="shared" si="34"/>
        <v>513</v>
      </c>
      <c r="B590" s="4"/>
      <c r="C590" s="80" t="s">
        <v>15</v>
      </c>
      <c r="D590" s="25"/>
      <c r="E590" s="47"/>
      <c r="F590" s="154"/>
      <c r="G590" s="154"/>
      <c r="H590" s="154"/>
      <c r="I590" s="199"/>
      <c r="J590" s="129"/>
    </row>
    <row r="591" spans="1:10" ht="12.75">
      <c r="A591" s="178">
        <f t="shared" si="34"/>
        <v>514</v>
      </c>
      <c r="B591" s="4"/>
      <c r="C591" s="80" t="s">
        <v>165</v>
      </c>
      <c r="D591" s="25"/>
      <c r="E591" s="47">
        <v>11100</v>
      </c>
      <c r="F591" s="154">
        <v>8100</v>
      </c>
      <c r="G591" s="154">
        <v>8100</v>
      </c>
      <c r="H591" s="154">
        <v>5855.68</v>
      </c>
      <c r="I591" s="199">
        <f t="shared" si="33"/>
        <v>0.7229234567901235</v>
      </c>
      <c r="J591" s="129">
        <f t="shared" si="32"/>
        <v>0.00018428667641526384</v>
      </c>
    </row>
    <row r="592" spans="1:10" ht="12.75">
      <c r="A592" s="178">
        <f aca="true" t="shared" si="36" ref="A592:A612">A591+1</f>
        <v>515</v>
      </c>
      <c r="B592" s="4"/>
      <c r="C592" s="80" t="s">
        <v>166</v>
      </c>
      <c r="D592" s="25"/>
      <c r="E592" s="47">
        <v>27100</v>
      </c>
      <c r="F592" s="154">
        <v>32376</v>
      </c>
      <c r="G592" s="154">
        <v>33366</v>
      </c>
      <c r="H592" s="154">
        <v>29240.03</v>
      </c>
      <c r="I592" s="199">
        <f t="shared" si="33"/>
        <v>0.8763420847569382</v>
      </c>
      <c r="J592" s="129">
        <f t="shared" si="32"/>
        <v>0.0009202258229586668</v>
      </c>
    </row>
    <row r="593" spans="1:10" ht="12.75">
      <c r="A593" s="178">
        <f t="shared" si="36"/>
        <v>516</v>
      </c>
      <c r="B593" s="4">
        <v>3240</v>
      </c>
      <c r="C593" s="80" t="s">
        <v>299</v>
      </c>
      <c r="D593" s="25"/>
      <c r="E593" s="47"/>
      <c r="F593" s="154">
        <f>SUM(F595:F596)</f>
        <v>0</v>
      </c>
      <c r="G593" s="154">
        <f>SUM(G595:G596)</f>
        <v>16168</v>
      </c>
      <c r="H593" s="154">
        <f>SUM(H595:H596)</f>
        <v>16076</v>
      </c>
      <c r="I593" s="199">
        <f t="shared" si="33"/>
        <v>0.9943097476496784</v>
      </c>
      <c r="J593" s="129">
        <f t="shared" si="32"/>
        <v>0.0005059348547140181</v>
      </c>
    </row>
    <row r="594" spans="1:10" ht="12.75">
      <c r="A594" s="178">
        <f t="shared" si="36"/>
        <v>517</v>
      </c>
      <c r="B594" s="4"/>
      <c r="C594" s="80" t="s">
        <v>15</v>
      </c>
      <c r="D594" s="25"/>
      <c r="E594" s="47"/>
      <c r="F594" s="154"/>
      <c r="G594" s="154"/>
      <c r="H594" s="154"/>
      <c r="I594" s="199"/>
      <c r="J594" s="129"/>
    </row>
    <row r="595" spans="1:10" ht="12.75">
      <c r="A595" s="178">
        <f t="shared" si="36"/>
        <v>518</v>
      </c>
      <c r="B595" s="4"/>
      <c r="C595" s="80" t="s">
        <v>165</v>
      </c>
      <c r="D595" s="25"/>
      <c r="E595" s="47"/>
      <c r="F595" s="154">
        <v>0</v>
      </c>
      <c r="G595" s="154">
        <v>14300</v>
      </c>
      <c r="H595" s="154">
        <v>14208</v>
      </c>
      <c r="I595" s="199">
        <f t="shared" si="33"/>
        <v>0.9935664335664336</v>
      </c>
      <c r="J595" s="129">
        <f t="shared" si="32"/>
        <v>0.00044714620650514853</v>
      </c>
    </row>
    <row r="596" spans="1:10" ht="12.75">
      <c r="A596" s="178">
        <f t="shared" si="36"/>
        <v>519</v>
      </c>
      <c r="B596" s="4"/>
      <c r="C596" s="80" t="s">
        <v>166</v>
      </c>
      <c r="D596" s="25"/>
      <c r="E596" s="47"/>
      <c r="F596" s="154">
        <v>0</v>
      </c>
      <c r="G596" s="154">
        <v>1868</v>
      </c>
      <c r="H596" s="154">
        <v>1868</v>
      </c>
      <c r="I596" s="199">
        <f t="shared" si="33"/>
        <v>1</v>
      </c>
      <c r="J596" s="129">
        <f t="shared" si="32"/>
        <v>5.8788648208869474E-05</v>
      </c>
    </row>
    <row r="597" spans="1:10" ht="12.75">
      <c r="A597" s="178">
        <f>A596+1</f>
        <v>520</v>
      </c>
      <c r="B597" s="4">
        <v>3260</v>
      </c>
      <c r="C597" s="80" t="s">
        <v>279</v>
      </c>
      <c r="D597" s="25"/>
      <c r="E597" s="48">
        <f>SUM(E599:E600)</f>
        <v>9500</v>
      </c>
      <c r="F597" s="23">
        <f>SUM(F599:F600)</f>
        <v>0</v>
      </c>
      <c r="G597" s="23">
        <f>SUM(G599:G600)</f>
        <v>0</v>
      </c>
      <c r="H597" s="23">
        <f>SUM(H599:H600)</f>
        <v>0</v>
      </c>
      <c r="I597" s="199"/>
      <c r="J597" s="129">
        <f t="shared" si="32"/>
        <v>0</v>
      </c>
    </row>
    <row r="598" spans="1:10" ht="12.75">
      <c r="A598" s="178">
        <f t="shared" si="36"/>
        <v>521</v>
      </c>
      <c r="B598" s="4"/>
      <c r="C598" s="80" t="s">
        <v>15</v>
      </c>
      <c r="D598" s="25"/>
      <c r="E598" s="47"/>
      <c r="F598" s="154"/>
      <c r="G598" s="154"/>
      <c r="H598" s="154"/>
      <c r="I598" s="199"/>
      <c r="J598" s="129">
        <f t="shared" si="32"/>
        <v>0</v>
      </c>
    </row>
    <row r="599" spans="1:10" ht="12.75">
      <c r="A599" s="178">
        <f t="shared" si="36"/>
        <v>522</v>
      </c>
      <c r="B599" s="4"/>
      <c r="C599" s="80" t="s">
        <v>165</v>
      </c>
      <c r="D599" s="25"/>
      <c r="E599" s="47">
        <v>8000</v>
      </c>
      <c r="F599" s="154">
        <v>0</v>
      </c>
      <c r="G599" s="154">
        <v>0</v>
      </c>
      <c r="H599" s="154">
        <v>0</v>
      </c>
      <c r="I599" s="199"/>
      <c r="J599" s="129">
        <f t="shared" si="32"/>
        <v>0</v>
      </c>
    </row>
    <row r="600" spans="1:10" ht="12.75">
      <c r="A600" s="178">
        <f t="shared" si="36"/>
        <v>523</v>
      </c>
      <c r="B600" s="4"/>
      <c r="C600" s="80" t="s">
        <v>166</v>
      </c>
      <c r="D600" s="25"/>
      <c r="E600" s="47">
        <v>1500</v>
      </c>
      <c r="F600" s="154">
        <v>0</v>
      </c>
      <c r="G600" s="154">
        <v>0</v>
      </c>
      <c r="H600" s="154">
        <v>0</v>
      </c>
      <c r="I600" s="199"/>
      <c r="J600" s="129">
        <f t="shared" si="32"/>
        <v>0</v>
      </c>
    </row>
    <row r="601" spans="1:10" ht="12.75">
      <c r="A601" s="178">
        <f t="shared" si="36"/>
        <v>524</v>
      </c>
      <c r="B601" s="4">
        <v>4010</v>
      </c>
      <c r="C601" s="80" t="s">
        <v>27</v>
      </c>
      <c r="D601" s="25"/>
      <c r="E601" s="48">
        <f>SUM(E603:E604)</f>
        <v>1420200</v>
      </c>
      <c r="F601" s="23">
        <f>SUM(F603:F604)</f>
        <v>1756570</v>
      </c>
      <c r="G601" s="23">
        <f>SUM(G603:G604)</f>
        <v>1863448</v>
      </c>
      <c r="H601" s="23">
        <f>SUM(H603:H604)</f>
        <v>1787106.06</v>
      </c>
      <c r="I601" s="199">
        <f t="shared" si="33"/>
        <v>0.9590318914184888</v>
      </c>
      <c r="J601" s="129">
        <f t="shared" si="32"/>
        <v>0.056242799503896566</v>
      </c>
    </row>
    <row r="602" spans="1:10" ht="12.75">
      <c r="A602" s="178">
        <f t="shared" si="36"/>
        <v>525</v>
      </c>
      <c r="B602" s="4"/>
      <c r="C602" s="80" t="s">
        <v>15</v>
      </c>
      <c r="D602" s="25"/>
      <c r="E602" s="47"/>
      <c r="F602" s="154"/>
      <c r="G602" s="154"/>
      <c r="H602" s="154"/>
      <c r="I602" s="199"/>
      <c r="J602" s="129"/>
    </row>
    <row r="603" spans="1:10" ht="12.75">
      <c r="A603" s="178">
        <f t="shared" si="36"/>
        <v>526</v>
      </c>
      <c r="B603" s="4"/>
      <c r="C603" s="80" t="s">
        <v>165</v>
      </c>
      <c r="D603" s="25"/>
      <c r="E603" s="47">
        <v>1122000</v>
      </c>
      <c r="F603" s="154">
        <v>1319800</v>
      </c>
      <c r="G603" s="154">
        <v>1398225</v>
      </c>
      <c r="H603" s="154">
        <v>1360792.74</v>
      </c>
      <c r="I603" s="199">
        <f t="shared" si="33"/>
        <v>0.973228729281768</v>
      </c>
      <c r="J603" s="129">
        <f t="shared" si="32"/>
        <v>0.04282610582282847</v>
      </c>
    </row>
    <row r="604" spans="1:10" ht="12.75">
      <c r="A604" s="178">
        <f t="shared" si="36"/>
        <v>527</v>
      </c>
      <c r="B604" s="4"/>
      <c r="C604" s="80" t="s">
        <v>166</v>
      </c>
      <c r="D604" s="25"/>
      <c r="E604" s="47">
        <f>210000+1700+83500+2500+500</f>
        <v>298200</v>
      </c>
      <c r="F604" s="154">
        <v>436770</v>
      </c>
      <c r="G604" s="154">
        <v>465223</v>
      </c>
      <c r="H604" s="154">
        <v>426313.32</v>
      </c>
      <c r="I604" s="199">
        <f t="shared" si="33"/>
        <v>0.9163633784228209</v>
      </c>
      <c r="J604" s="129">
        <f t="shared" si="32"/>
        <v>0.013416693681068095</v>
      </c>
    </row>
    <row r="605" spans="1:10" ht="12.75">
      <c r="A605" s="178">
        <f>A604+1</f>
        <v>528</v>
      </c>
      <c r="B605" s="4">
        <v>4040</v>
      </c>
      <c r="C605" s="80" t="s">
        <v>28</v>
      </c>
      <c r="D605" s="25"/>
      <c r="E605" s="48">
        <f>SUM(E607:E608)</f>
        <v>111700</v>
      </c>
      <c r="F605" s="23">
        <f>SUM(F607:F608)</f>
        <v>131100</v>
      </c>
      <c r="G605" s="23">
        <f>SUM(G607:G608)</f>
        <v>128700</v>
      </c>
      <c r="H605" s="23">
        <f>SUM(H607:H608)</f>
        <v>126490.54</v>
      </c>
      <c r="I605" s="199">
        <f t="shared" si="33"/>
        <v>0.9828324786324786</v>
      </c>
      <c r="J605" s="129">
        <f t="shared" si="32"/>
        <v>0.003980839324309386</v>
      </c>
    </row>
    <row r="606" spans="1:10" ht="12.75">
      <c r="A606" s="178">
        <f t="shared" si="36"/>
        <v>529</v>
      </c>
      <c r="B606" s="4"/>
      <c r="C606" s="80" t="s">
        <v>15</v>
      </c>
      <c r="D606" s="25"/>
      <c r="E606" s="47"/>
      <c r="F606" s="154"/>
      <c r="G606" s="154"/>
      <c r="H606" s="154"/>
      <c r="I606" s="199"/>
      <c r="J606" s="129"/>
    </row>
    <row r="607" spans="1:10" ht="12.75">
      <c r="A607" s="178">
        <f t="shared" si="36"/>
        <v>530</v>
      </c>
      <c r="B607" s="4"/>
      <c r="C607" s="80" t="s">
        <v>165</v>
      </c>
      <c r="D607" s="25"/>
      <c r="E607" s="47">
        <v>82900</v>
      </c>
      <c r="F607" s="154">
        <v>98300</v>
      </c>
      <c r="G607" s="154">
        <v>95900</v>
      </c>
      <c r="H607" s="154">
        <v>95871.01</v>
      </c>
      <c r="I607" s="199">
        <f t="shared" si="33"/>
        <v>0.9996977059436913</v>
      </c>
      <c r="J607" s="129">
        <f t="shared" si="32"/>
        <v>0.003017198651134372</v>
      </c>
    </row>
    <row r="608" spans="1:10" ht="12.75">
      <c r="A608" s="178">
        <f t="shared" si="36"/>
        <v>531</v>
      </c>
      <c r="B608" s="4"/>
      <c r="C608" s="80" t="s">
        <v>166</v>
      </c>
      <c r="D608" s="25"/>
      <c r="E608" s="47">
        <v>28800</v>
      </c>
      <c r="F608" s="154">
        <v>32800</v>
      </c>
      <c r="G608" s="154">
        <v>32800</v>
      </c>
      <c r="H608" s="154">
        <v>30619.53</v>
      </c>
      <c r="I608" s="199">
        <f t="shared" si="33"/>
        <v>0.9335222560975609</v>
      </c>
      <c r="J608" s="129">
        <f t="shared" si="32"/>
        <v>0.0009636406731750134</v>
      </c>
    </row>
    <row r="609" spans="1:10" ht="12.75">
      <c r="A609" s="178">
        <f t="shared" si="36"/>
        <v>532</v>
      </c>
      <c r="B609" s="4">
        <v>4110</v>
      </c>
      <c r="C609" s="80" t="s">
        <v>32</v>
      </c>
      <c r="D609" s="25"/>
      <c r="E609" s="48">
        <f>SUM(E611:E612)</f>
        <v>275000</v>
      </c>
      <c r="F609" s="23">
        <f>SUM(F611:F612)</f>
        <v>321700</v>
      </c>
      <c r="G609" s="23">
        <f>SUM(G611:G612)</f>
        <v>340062</v>
      </c>
      <c r="H609" s="23">
        <f>SUM(H611:H612)</f>
        <v>318113.01</v>
      </c>
      <c r="I609" s="199">
        <f t="shared" si="33"/>
        <v>0.9354559168622193</v>
      </c>
      <c r="J609" s="129">
        <f t="shared" si="32"/>
        <v>0.010011474216035642</v>
      </c>
    </row>
    <row r="610" spans="1:10" ht="12.75">
      <c r="A610" s="178">
        <f t="shared" si="36"/>
        <v>533</v>
      </c>
      <c r="B610" s="4"/>
      <c r="C610" s="80" t="s">
        <v>15</v>
      </c>
      <c r="D610" s="25"/>
      <c r="E610" s="47"/>
      <c r="F610" s="154"/>
      <c r="G610" s="154"/>
      <c r="H610" s="154"/>
      <c r="I610" s="199"/>
      <c r="J610" s="129"/>
    </row>
    <row r="611" spans="1:10" ht="12.75">
      <c r="A611" s="178">
        <f t="shared" si="36"/>
        <v>534</v>
      </c>
      <c r="B611" s="4"/>
      <c r="C611" s="80" t="s">
        <v>165</v>
      </c>
      <c r="D611" s="25"/>
      <c r="E611" s="47">
        <v>212400</v>
      </c>
      <c r="F611" s="154">
        <v>234500</v>
      </c>
      <c r="G611" s="154">
        <v>248150</v>
      </c>
      <c r="H611" s="154">
        <v>233987.48</v>
      </c>
      <c r="I611" s="199">
        <f t="shared" si="33"/>
        <v>0.9429275841225065</v>
      </c>
      <c r="J611" s="129">
        <f t="shared" si="32"/>
        <v>0.007363922723233342</v>
      </c>
    </row>
    <row r="612" spans="1:10" ht="12.75">
      <c r="A612" s="178">
        <f t="shared" si="36"/>
        <v>535</v>
      </c>
      <c r="B612" s="4"/>
      <c r="C612" s="80" t="s">
        <v>166</v>
      </c>
      <c r="D612" s="25"/>
      <c r="E612" s="47">
        <v>62600</v>
      </c>
      <c r="F612" s="154">
        <v>87200</v>
      </c>
      <c r="G612" s="154">
        <v>91912</v>
      </c>
      <c r="H612" s="154">
        <v>84125.53</v>
      </c>
      <c r="I612" s="199">
        <f t="shared" si="33"/>
        <v>0.9152834232744365</v>
      </c>
      <c r="J612" s="129">
        <f t="shared" si="32"/>
        <v>0.0026475514928022996</v>
      </c>
    </row>
    <row r="613" spans="1:10" ht="12.75">
      <c r="A613" s="178">
        <f aca="true" t="shared" si="37" ref="A613:A681">A612+1</f>
        <v>536</v>
      </c>
      <c r="B613" s="4">
        <v>4120</v>
      </c>
      <c r="C613" s="80" t="s">
        <v>33</v>
      </c>
      <c r="D613" s="25"/>
      <c r="E613" s="48">
        <f>SUM(E615:E616)</f>
        <v>37700</v>
      </c>
      <c r="F613" s="23">
        <f>SUM(F615:F616)</f>
        <v>45255</v>
      </c>
      <c r="G613" s="23">
        <f>SUM(G615:G616)</f>
        <v>47865</v>
      </c>
      <c r="H613" s="23">
        <f>SUM(H615:H616)</f>
        <v>45895.259999999995</v>
      </c>
      <c r="I613" s="199">
        <f t="shared" si="33"/>
        <v>0.9588480100282042</v>
      </c>
      <c r="J613" s="129">
        <f t="shared" si="32"/>
        <v>0.0014443898793332968</v>
      </c>
    </row>
    <row r="614" spans="1:10" ht="12.75">
      <c r="A614" s="178">
        <f t="shared" si="37"/>
        <v>537</v>
      </c>
      <c r="B614" s="4"/>
      <c r="C614" s="80" t="s">
        <v>15</v>
      </c>
      <c r="D614" s="25"/>
      <c r="E614" s="47"/>
      <c r="F614" s="154"/>
      <c r="G614" s="154"/>
      <c r="H614" s="154"/>
      <c r="I614" s="199"/>
      <c r="J614" s="129"/>
    </row>
    <row r="615" spans="1:10" ht="12.75">
      <c r="A615" s="178">
        <f t="shared" si="37"/>
        <v>538</v>
      </c>
      <c r="B615" s="4"/>
      <c r="C615" s="80" t="s">
        <v>165</v>
      </c>
      <c r="D615" s="25"/>
      <c r="E615" s="47">
        <v>29100</v>
      </c>
      <c r="F615" s="154">
        <v>33200</v>
      </c>
      <c r="G615" s="154">
        <v>35135</v>
      </c>
      <c r="H615" s="154">
        <v>33778.67</v>
      </c>
      <c r="I615" s="199">
        <f t="shared" si="33"/>
        <v>0.9613966130638963</v>
      </c>
      <c r="J615" s="129">
        <f t="shared" si="32"/>
        <v>0.0010630633552427692</v>
      </c>
    </row>
    <row r="616" spans="1:10" ht="12.75">
      <c r="A616" s="178">
        <f t="shared" si="37"/>
        <v>539</v>
      </c>
      <c r="B616" s="4"/>
      <c r="C616" s="80" t="s">
        <v>166</v>
      </c>
      <c r="D616" s="25"/>
      <c r="E616" s="47">
        <v>8600</v>
      </c>
      <c r="F616" s="154">
        <v>12055</v>
      </c>
      <c r="G616" s="154">
        <v>12730</v>
      </c>
      <c r="H616" s="154">
        <v>12116.59</v>
      </c>
      <c r="I616" s="199">
        <f t="shared" si="33"/>
        <v>0.9518138256087981</v>
      </c>
      <c r="J616" s="129">
        <f t="shared" si="32"/>
        <v>0.00038132652409052773</v>
      </c>
    </row>
    <row r="617" spans="1:10" ht="12.75">
      <c r="A617" s="178">
        <f t="shared" si="37"/>
        <v>540</v>
      </c>
      <c r="B617" s="4">
        <v>4140</v>
      </c>
      <c r="C617" s="80" t="s">
        <v>177</v>
      </c>
      <c r="D617" s="25"/>
      <c r="E617" s="47"/>
      <c r="F617" s="154">
        <f>SUM(F619:F620)</f>
        <v>10600</v>
      </c>
      <c r="G617" s="154">
        <f>SUM(G619:G620)</f>
        <v>0</v>
      </c>
      <c r="H617" s="154">
        <f>SUM(H619:H620)</f>
        <v>0</v>
      </c>
      <c r="I617" s="199"/>
      <c r="J617" s="129">
        <f t="shared" si="32"/>
        <v>0</v>
      </c>
    </row>
    <row r="618" spans="1:10" ht="12.75">
      <c r="A618" s="178">
        <f t="shared" si="37"/>
        <v>541</v>
      </c>
      <c r="B618" s="4"/>
      <c r="C618" s="80" t="s">
        <v>15</v>
      </c>
      <c r="D618" s="25"/>
      <c r="E618" s="47"/>
      <c r="F618" s="154"/>
      <c r="G618" s="154"/>
      <c r="H618" s="154"/>
      <c r="I618" s="199"/>
      <c r="J618" s="129"/>
    </row>
    <row r="619" spans="1:10" ht="12.75">
      <c r="A619" s="178">
        <f t="shared" si="37"/>
        <v>542</v>
      </c>
      <c r="B619" s="4"/>
      <c r="C619" s="80" t="s">
        <v>165</v>
      </c>
      <c r="D619" s="25"/>
      <c r="E619" s="47"/>
      <c r="F619" s="154">
        <v>10600</v>
      </c>
      <c r="G619" s="154">
        <v>0</v>
      </c>
      <c r="H619" s="154">
        <v>0</v>
      </c>
      <c r="I619" s="199"/>
      <c r="J619" s="129">
        <f t="shared" si="32"/>
        <v>0</v>
      </c>
    </row>
    <row r="620" spans="1:10" ht="12.75">
      <c r="A620" s="178">
        <f t="shared" si="37"/>
        <v>543</v>
      </c>
      <c r="B620" s="4"/>
      <c r="C620" s="80" t="s">
        <v>166</v>
      </c>
      <c r="D620" s="25"/>
      <c r="E620" s="47"/>
      <c r="F620" s="154">
        <v>0</v>
      </c>
      <c r="G620" s="154">
        <v>0</v>
      </c>
      <c r="H620" s="154">
        <v>0</v>
      </c>
      <c r="I620" s="199"/>
      <c r="J620" s="129">
        <f t="shared" si="32"/>
        <v>0</v>
      </c>
    </row>
    <row r="621" spans="1:10" ht="12.75">
      <c r="A621" s="178">
        <f>A620+1</f>
        <v>544</v>
      </c>
      <c r="B621" s="4">
        <v>4170</v>
      </c>
      <c r="C621" s="80" t="s">
        <v>259</v>
      </c>
      <c r="D621" s="25"/>
      <c r="E621" s="47"/>
      <c r="F621" s="154">
        <f>SUM(F623:F624)</f>
        <v>22000</v>
      </c>
      <c r="G621" s="154">
        <f>SUM(G623:G624)</f>
        <v>20300</v>
      </c>
      <c r="H621" s="154">
        <f>SUM(H623:H624)</f>
        <v>18224.45</v>
      </c>
      <c r="I621" s="199">
        <f t="shared" si="33"/>
        <v>0.897756157635468</v>
      </c>
      <c r="J621" s="129">
        <f t="shared" si="32"/>
        <v>0.000573549668013989</v>
      </c>
    </row>
    <row r="622" spans="1:10" ht="12.75">
      <c r="A622" s="178">
        <f t="shared" si="37"/>
        <v>545</v>
      </c>
      <c r="B622" s="4"/>
      <c r="C622" s="80" t="s">
        <v>15</v>
      </c>
      <c r="D622" s="25"/>
      <c r="E622" s="47"/>
      <c r="F622" s="154"/>
      <c r="G622" s="154"/>
      <c r="H622" s="154"/>
      <c r="I622" s="199"/>
      <c r="J622" s="129"/>
    </row>
    <row r="623" spans="1:10" ht="12.75">
      <c r="A623" s="178">
        <f t="shared" si="37"/>
        <v>546</v>
      </c>
      <c r="B623" s="4"/>
      <c r="C623" s="80" t="s">
        <v>165</v>
      </c>
      <c r="D623" s="25"/>
      <c r="E623" s="47">
        <v>2500</v>
      </c>
      <c r="F623" s="154">
        <v>8000</v>
      </c>
      <c r="G623" s="154">
        <v>6000</v>
      </c>
      <c r="H623" s="154">
        <v>5426</v>
      </c>
      <c r="I623" s="199">
        <f t="shared" si="33"/>
        <v>0.9043333333333333</v>
      </c>
      <c r="J623" s="129">
        <f t="shared" si="32"/>
        <v>0.00017076402846966047</v>
      </c>
    </row>
    <row r="624" spans="1:10" ht="12.75">
      <c r="A624" s="178">
        <f t="shared" si="37"/>
        <v>547</v>
      </c>
      <c r="B624" s="4"/>
      <c r="C624" s="80" t="s">
        <v>166</v>
      </c>
      <c r="D624" s="25"/>
      <c r="E624" s="47">
        <v>0</v>
      </c>
      <c r="F624" s="154">
        <v>14000</v>
      </c>
      <c r="G624" s="154">
        <v>14300</v>
      </c>
      <c r="H624" s="154">
        <v>12798.45</v>
      </c>
      <c r="I624" s="199">
        <f t="shared" si="33"/>
        <v>0.8949965034965035</v>
      </c>
      <c r="J624" s="129">
        <f t="shared" si="32"/>
        <v>0.0004027856395443285</v>
      </c>
    </row>
    <row r="625" spans="1:10" ht="12.75">
      <c r="A625" s="178">
        <f t="shared" si="37"/>
        <v>548</v>
      </c>
      <c r="B625" s="4">
        <v>4210</v>
      </c>
      <c r="C625" s="80" t="s">
        <v>153</v>
      </c>
      <c r="D625" s="25"/>
      <c r="E625" s="48">
        <f>SUM(E627:E628)</f>
        <v>156900</v>
      </c>
      <c r="F625" s="23">
        <f>SUM(F627:F628)</f>
        <v>118825</v>
      </c>
      <c r="G625" s="23">
        <f>SUM(G627:G628)</f>
        <v>137065.5</v>
      </c>
      <c r="H625" s="23">
        <f>SUM(H627:H628)</f>
        <v>125394.54</v>
      </c>
      <c r="I625" s="199">
        <f t="shared" si="33"/>
        <v>0.9148512207667137</v>
      </c>
      <c r="J625" s="129">
        <f t="shared" si="32"/>
        <v>0.003946346627073346</v>
      </c>
    </row>
    <row r="626" spans="1:10" ht="12.75">
      <c r="A626" s="178">
        <f t="shared" si="37"/>
        <v>549</v>
      </c>
      <c r="B626" s="4"/>
      <c r="C626" s="80" t="s">
        <v>15</v>
      </c>
      <c r="D626" s="25"/>
      <c r="E626" s="47"/>
      <c r="F626" s="154"/>
      <c r="G626" s="154"/>
      <c r="H626" s="154"/>
      <c r="I626" s="199"/>
      <c r="J626" s="129"/>
    </row>
    <row r="627" spans="1:10" ht="12.75">
      <c r="A627" s="178">
        <f t="shared" si="37"/>
        <v>550</v>
      </c>
      <c r="B627" s="4"/>
      <c r="C627" s="80" t="s">
        <v>165</v>
      </c>
      <c r="D627" s="25"/>
      <c r="E627" s="47">
        <f>131500-19100</f>
        <v>112400</v>
      </c>
      <c r="F627" s="154">
        <f>78000-3000</f>
        <v>75000</v>
      </c>
      <c r="G627" s="154">
        <v>74693.5</v>
      </c>
      <c r="H627" s="154">
        <v>67580.23</v>
      </c>
      <c r="I627" s="199">
        <f t="shared" si="33"/>
        <v>0.9047672153534109</v>
      </c>
      <c r="J627" s="129">
        <f t="shared" si="32"/>
        <v>0.0021268470917261708</v>
      </c>
    </row>
    <row r="628" spans="1:10" ht="12.75">
      <c r="A628" s="178">
        <f t="shared" si="37"/>
        <v>551</v>
      </c>
      <c r="B628" s="4"/>
      <c r="C628" s="80" t="s">
        <v>166</v>
      </c>
      <c r="D628" s="25"/>
      <c r="E628" s="47">
        <v>44500</v>
      </c>
      <c r="F628" s="154">
        <v>43825</v>
      </c>
      <c r="G628" s="154">
        <v>62372</v>
      </c>
      <c r="H628" s="154">
        <v>57814.31</v>
      </c>
      <c r="I628" s="199">
        <f t="shared" si="33"/>
        <v>0.9269273071249919</v>
      </c>
      <c r="J628" s="129">
        <f t="shared" si="32"/>
        <v>0.001819499535347176</v>
      </c>
    </row>
    <row r="629" spans="1:10" ht="12.75">
      <c r="A629" s="178">
        <f t="shared" si="37"/>
        <v>552</v>
      </c>
      <c r="B629" s="4">
        <v>4217</v>
      </c>
      <c r="C629" s="80" t="s">
        <v>153</v>
      </c>
      <c r="D629" s="25"/>
      <c r="E629" s="47"/>
      <c r="F629" s="154"/>
      <c r="G629" s="154"/>
      <c r="H629" s="154"/>
      <c r="I629" s="199"/>
      <c r="J629" s="129"/>
    </row>
    <row r="630" spans="1:10" ht="12.75">
      <c r="A630" s="178">
        <f t="shared" si="37"/>
        <v>553</v>
      </c>
      <c r="B630" s="4"/>
      <c r="C630" s="80" t="s">
        <v>654</v>
      </c>
      <c r="D630" s="25"/>
      <c r="E630" s="47"/>
      <c r="F630" s="154">
        <v>0</v>
      </c>
      <c r="G630" s="154">
        <v>1500</v>
      </c>
      <c r="H630" s="154">
        <v>81.3</v>
      </c>
      <c r="I630" s="199">
        <f>H630/G630</f>
        <v>0.0542</v>
      </c>
      <c r="J630" s="129">
        <f>H630/H$54</f>
        <v>2.558627997527349E-06</v>
      </c>
    </row>
    <row r="631" spans="1:10" ht="12.75">
      <c r="A631" s="178">
        <f t="shared" si="37"/>
        <v>554</v>
      </c>
      <c r="B631" s="4">
        <v>4220</v>
      </c>
      <c r="C631" s="80" t="s">
        <v>159</v>
      </c>
      <c r="D631" s="25"/>
      <c r="E631" s="47">
        <f>SUM(E633:E634)</f>
        <v>0</v>
      </c>
      <c r="F631" s="154">
        <f>SUM(F633:F634)</f>
        <v>120300</v>
      </c>
      <c r="G631" s="154">
        <f>SUM(G633:G634)</f>
        <v>120800</v>
      </c>
      <c r="H631" s="154">
        <f>SUM(H633:H634)</f>
        <v>99745.14</v>
      </c>
      <c r="I631" s="199">
        <f t="shared" si="33"/>
        <v>0.8257048013245033</v>
      </c>
      <c r="J631" s="129">
        <f aca="true" t="shared" si="38" ref="J631:J704">H631/H$54</f>
        <v>0.003139123097432781</v>
      </c>
    </row>
    <row r="632" spans="1:10" ht="12.75">
      <c r="A632" s="178">
        <f t="shared" si="37"/>
        <v>555</v>
      </c>
      <c r="B632" s="4"/>
      <c r="C632" s="80" t="s">
        <v>15</v>
      </c>
      <c r="D632" s="25"/>
      <c r="E632" s="47"/>
      <c r="F632" s="154"/>
      <c r="G632" s="154"/>
      <c r="H632" s="154"/>
      <c r="I632" s="199"/>
      <c r="J632" s="129"/>
    </row>
    <row r="633" spans="1:10" ht="12.75">
      <c r="A633" s="178">
        <f t="shared" si="37"/>
        <v>556</v>
      </c>
      <c r="B633" s="4"/>
      <c r="C633" s="80" t="s">
        <v>165</v>
      </c>
      <c r="D633" s="25"/>
      <c r="E633" s="47">
        <v>0</v>
      </c>
      <c r="F633" s="154">
        <v>92400</v>
      </c>
      <c r="G633" s="154">
        <v>92400</v>
      </c>
      <c r="H633" s="154">
        <v>75167.17</v>
      </c>
      <c r="I633" s="199">
        <f t="shared" si="33"/>
        <v>0.8134975108225108</v>
      </c>
      <c r="J633" s="129">
        <f t="shared" si="38"/>
        <v>0.002365619011769961</v>
      </c>
    </row>
    <row r="634" spans="1:10" ht="12.75">
      <c r="A634" s="178">
        <f t="shared" si="37"/>
        <v>557</v>
      </c>
      <c r="B634" s="4"/>
      <c r="C634" s="80" t="s">
        <v>166</v>
      </c>
      <c r="D634" s="25"/>
      <c r="E634" s="47">
        <v>0</v>
      </c>
      <c r="F634" s="154">
        <v>27900</v>
      </c>
      <c r="G634" s="154">
        <v>28400</v>
      </c>
      <c r="H634" s="154">
        <v>24577.97</v>
      </c>
      <c r="I634" s="199">
        <f t="shared" si="33"/>
        <v>0.8654214788732395</v>
      </c>
      <c r="J634" s="129">
        <f t="shared" si="38"/>
        <v>0.00077350408566282</v>
      </c>
    </row>
    <row r="635" spans="1:10" ht="12.75">
      <c r="A635" s="178">
        <f t="shared" si="37"/>
        <v>558</v>
      </c>
      <c r="B635" s="4">
        <v>4240</v>
      </c>
      <c r="C635" s="80" t="s">
        <v>160</v>
      </c>
      <c r="D635" s="25"/>
      <c r="E635" s="48"/>
      <c r="F635" s="166"/>
      <c r="G635" s="166"/>
      <c r="H635" s="166"/>
      <c r="I635" s="199"/>
      <c r="J635" s="129"/>
    </row>
    <row r="636" spans="1:10" ht="12.75">
      <c r="A636" s="178">
        <f t="shared" si="37"/>
        <v>559</v>
      </c>
      <c r="B636" s="4"/>
      <c r="C636" s="80" t="s">
        <v>161</v>
      </c>
      <c r="D636" s="25"/>
      <c r="E636" s="48">
        <f>SUM(E638:E639)</f>
        <v>21000</v>
      </c>
      <c r="F636" s="23">
        <f>SUM(F638:F639)</f>
        <v>22500</v>
      </c>
      <c r="G636" s="23">
        <f>SUM(G638:G639)</f>
        <v>34300</v>
      </c>
      <c r="H636" s="23">
        <f>SUM(H638:H639)</f>
        <v>26011.41</v>
      </c>
      <c r="I636" s="199">
        <f aca="true" t="shared" si="39" ref="I636:I705">H636/G636</f>
        <v>0.7583501457725947</v>
      </c>
      <c r="J636" s="129">
        <f t="shared" si="38"/>
        <v>0.0008186165053033563</v>
      </c>
    </row>
    <row r="637" spans="1:10" ht="12.75">
      <c r="A637" s="178">
        <f t="shared" si="37"/>
        <v>560</v>
      </c>
      <c r="B637" s="4"/>
      <c r="C637" s="80" t="s">
        <v>15</v>
      </c>
      <c r="D637" s="25"/>
      <c r="E637" s="47"/>
      <c r="F637" s="154"/>
      <c r="G637" s="154"/>
      <c r="H637" s="154"/>
      <c r="I637" s="199"/>
      <c r="J637" s="129"/>
    </row>
    <row r="638" spans="1:10" ht="12.75">
      <c r="A638" s="178">
        <f t="shared" si="37"/>
        <v>561</v>
      </c>
      <c r="B638" s="4"/>
      <c r="C638" s="80" t="s">
        <v>165</v>
      </c>
      <c r="D638" s="25"/>
      <c r="E638" s="47">
        <f>84000-20000-20000-30000</f>
        <v>14000</v>
      </c>
      <c r="F638" s="154">
        <v>20000</v>
      </c>
      <c r="G638" s="154">
        <v>30100</v>
      </c>
      <c r="H638" s="154">
        <v>21938.11</v>
      </c>
      <c r="I638" s="199">
        <f t="shared" si="39"/>
        <v>0.7288408637873754</v>
      </c>
      <c r="J638" s="129">
        <f t="shared" si="38"/>
        <v>0.0006904238924825919</v>
      </c>
    </row>
    <row r="639" spans="1:10" ht="12.75">
      <c r="A639" s="178">
        <f t="shared" si="37"/>
        <v>562</v>
      </c>
      <c r="B639" s="4"/>
      <c r="C639" s="80" t="s">
        <v>166</v>
      </c>
      <c r="D639" s="25"/>
      <c r="E639" s="47">
        <v>7000</v>
      </c>
      <c r="F639" s="154">
        <v>2500</v>
      </c>
      <c r="G639" s="154">
        <v>4200</v>
      </c>
      <c r="H639" s="154">
        <v>4073.3</v>
      </c>
      <c r="I639" s="199">
        <f t="shared" si="39"/>
        <v>0.9698333333333333</v>
      </c>
      <c r="J639" s="129">
        <f t="shared" si="38"/>
        <v>0.00012819261282076447</v>
      </c>
    </row>
    <row r="640" spans="1:10" ht="12.75">
      <c r="A640" s="178">
        <f t="shared" si="37"/>
        <v>563</v>
      </c>
      <c r="B640" s="4">
        <v>4247</v>
      </c>
      <c r="C640" s="80" t="s">
        <v>160</v>
      </c>
      <c r="D640" s="25"/>
      <c r="E640" s="47"/>
      <c r="F640" s="154"/>
      <c r="G640" s="154"/>
      <c r="H640" s="154"/>
      <c r="I640" s="199"/>
      <c r="J640" s="129"/>
    </row>
    <row r="641" spans="1:10" ht="12.75">
      <c r="A641" s="178">
        <f t="shared" si="37"/>
        <v>564</v>
      </c>
      <c r="B641" s="4"/>
      <c r="C641" s="80" t="s">
        <v>652</v>
      </c>
      <c r="D641" s="25"/>
      <c r="E641" s="47"/>
      <c r="F641" s="154">
        <v>0</v>
      </c>
      <c r="G641" s="154">
        <v>833.99</v>
      </c>
      <c r="H641" s="154">
        <v>833.99</v>
      </c>
      <c r="I641" s="199">
        <f>H641/G641</f>
        <v>1</v>
      </c>
      <c r="J641" s="129">
        <f>H641/H$54</f>
        <v>2.6246865481646175E-05</v>
      </c>
    </row>
    <row r="642" spans="1:10" ht="12.75">
      <c r="A642" s="178">
        <f t="shared" si="37"/>
        <v>565</v>
      </c>
      <c r="B642" s="4">
        <v>4260</v>
      </c>
      <c r="C642" s="80" t="s">
        <v>155</v>
      </c>
      <c r="D642" s="25"/>
      <c r="E642" s="48">
        <f>SUM(E644:E645)</f>
        <v>32600</v>
      </c>
      <c r="F642" s="23">
        <f>SUM(F644:F645)</f>
        <v>183150</v>
      </c>
      <c r="G642" s="23">
        <f>SUM(G644:G645)</f>
        <v>168100</v>
      </c>
      <c r="H642" s="23">
        <f>SUM(H644:H645)</f>
        <v>127431.09999999999</v>
      </c>
      <c r="I642" s="199">
        <f t="shared" si="39"/>
        <v>0.758067221891731</v>
      </c>
      <c r="J642" s="129">
        <f t="shared" si="38"/>
        <v>0.0040104401010542115</v>
      </c>
    </row>
    <row r="643" spans="1:10" ht="12.75">
      <c r="A643" s="178">
        <f t="shared" si="37"/>
        <v>566</v>
      </c>
      <c r="B643" s="4"/>
      <c r="C643" s="80" t="s">
        <v>15</v>
      </c>
      <c r="D643" s="25"/>
      <c r="E643" s="47"/>
      <c r="F643" s="154"/>
      <c r="G643" s="154"/>
      <c r="H643" s="154"/>
      <c r="I643" s="199"/>
      <c r="J643" s="129"/>
    </row>
    <row r="644" spans="1:10" ht="12.75">
      <c r="A644" s="178">
        <f t="shared" si="37"/>
        <v>567</v>
      </c>
      <c r="B644" s="4"/>
      <c r="C644" s="80" t="s">
        <v>165</v>
      </c>
      <c r="D644" s="25"/>
      <c r="E644" s="47">
        <v>22500</v>
      </c>
      <c r="F644" s="154">
        <v>171500</v>
      </c>
      <c r="G644" s="154">
        <v>159100</v>
      </c>
      <c r="H644" s="154">
        <v>118741.93</v>
      </c>
      <c r="I644" s="199">
        <f t="shared" si="39"/>
        <v>0.7463351979886863</v>
      </c>
      <c r="J644" s="129">
        <f t="shared" si="38"/>
        <v>0.003736979416708889</v>
      </c>
    </row>
    <row r="645" spans="1:10" ht="13.5" customHeight="1">
      <c r="A645" s="178">
        <f t="shared" si="37"/>
        <v>568</v>
      </c>
      <c r="B645" s="4"/>
      <c r="C645" s="80" t="s">
        <v>166</v>
      </c>
      <c r="D645" s="25"/>
      <c r="E645" s="47">
        <v>10100</v>
      </c>
      <c r="F645" s="154">
        <v>11650</v>
      </c>
      <c r="G645" s="154">
        <v>9000</v>
      </c>
      <c r="H645" s="154">
        <v>8689.17</v>
      </c>
      <c r="I645" s="199">
        <f t="shared" si="39"/>
        <v>0.9654633333333333</v>
      </c>
      <c r="J645" s="129">
        <f t="shared" si="38"/>
        <v>0.0002734606843453225</v>
      </c>
    </row>
    <row r="646" spans="1:10" ht="12.75">
      <c r="A646" s="178">
        <f>A645+1</f>
        <v>569</v>
      </c>
      <c r="B646" s="4">
        <v>4270</v>
      </c>
      <c r="C646" s="80" t="s">
        <v>152</v>
      </c>
      <c r="D646" s="25"/>
      <c r="E646" s="46">
        <f>SUM(E648:E649)</f>
        <v>40200</v>
      </c>
      <c r="F646" s="28">
        <f>SUM(F648:F649)</f>
        <v>25500</v>
      </c>
      <c r="G646" s="28">
        <f>SUM(G648:G649)</f>
        <v>57650</v>
      </c>
      <c r="H646" s="28">
        <f>SUM(H648:H649)</f>
        <v>53896.44</v>
      </c>
      <c r="I646" s="199">
        <f t="shared" si="39"/>
        <v>0.9348905464006939</v>
      </c>
      <c r="J646" s="129">
        <f t="shared" si="38"/>
        <v>0.0016961985283032342</v>
      </c>
    </row>
    <row r="647" spans="1:10" ht="12.75">
      <c r="A647" s="178">
        <f t="shared" si="37"/>
        <v>570</v>
      </c>
      <c r="B647" s="4"/>
      <c r="C647" s="80" t="s">
        <v>15</v>
      </c>
      <c r="D647" s="25"/>
      <c r="E647" s="47"/>
      <c r="F647" s="154"/>
      <c r="G647" s="154"/>
      <c r="H647" s="154"/>
      <c r="I647" s="199"/>
      <c r="J647" s="129"/>
    </row>
    <row r="648" spans="1:10" ht="12.75">
      <c r="A648" s="178">
        <f t="shared" si="37"/>
        <v>571</v>
      </c>
      <c r="B648" s="4"/>
      <c r="C648" s="80" t="s">
        <v>165</v>
      </c>
      <c r="D648" s="25"/>
      <c r="E648" s="47">
        <v>24200</v>
      </c>
      <c r="F648" s="154">
        <v>20000</v>
      </c>
      <c r="G648" s="154">
        <v>45000</v>
      </c>
      <c r="H648" s="154">
        <v>42239.99</v>
      </c>
      <c r="I648" s="199">
        <f t="shared" si="39"/>
        <v>0.9386664444444444</v>
      </c>
      <c r="J648" s="129">
        <f t="shared" si="38"/>
        <v>0.0013293532721928075</v>
      </c>
    </row>
    <row r="649" spans="1:10" ht="12.75">
      <c r="A649" s="178">
        <f t="shared" si="37"/>
        <v>572</v>
      </c>
      <c r="B649" s="4"/>
      <c r="C649" s="80" t="s">
        <v>166</v>
      </c>
      <c r="D649" s="25"/>
      <c r="E649" s="47">
        <v>16000</v>
      </c>
      <c r="F649" s="154">
        <v>5500</v>
      </c>
      <c r="G649" s="154">
        <v>12650</v>
      </c>
      <c r="H649" s="154">
        <v>11656.45</v>
      </c>
      <c r="I649" s="199">
        <f t="shared" si="39"/>
        <v>0.9214584980237155</v>
      </c>
      <c r="J649" s="129">
        <f t="shared" si="38"/>
        <v>0.00036684525611042646</v>
      </c>
    </row>
    <row r="650" spans="1:10" ht="12.75">
      <c r="A650" s="178">
        <f t="shared" si="37"/>
        <v>573</v>
      </c>
      <c r="B650" s="4">
        <v>4280</v>
      </c>
      <c r="C650" s="80" t="s">
        <v>365</v>
      </c>
      <c r="D650" s="25"/>
      <c r="E650" s="47"/>
      <c r="F650" s="154">
        <f>SUM(F652:F653)</f>
        <v>5850</v>
      </c>
      <c r="G650" s="154">
        <f>SUM(G652:G653)</f>
        <v>3450</v>
      </c>
      <c r="H650" s="154">
        <f>SUM(H652:H653)</f>
        <v>2221</v>
      </c>
      <c r="I650" s="199">
        <f t="shared" si="39"/>
        <v>0.643768115942029</v>
      </c>
      <c r="J650" s="129">
        <f t="shared" si="38"/>
        <v>6.989806620551344E-05</v>
      </c>
    </row>
    <row r="651" spans="1:10" ht="12.75">
      <c r="A651" s="178">
        <f t="shared" si="37"/>
        <v>574</v>
      </c>
      <c r="B651" s="4"/>
      <c r="C651" s="80" t="s">
        <v>15</v>
      </c>
      <c r="D651" s="25"/>
      <c r="E651" s="47"/>
      <c r="F651" s="154"/>
      <c r="G651" s="154"/>
      <c r="H651" s="154"/>
      <c r="I651" s="199"/>
      <c r="J651" s="129"/>
    </row>
    <row r="652" spans="1:10" ht="12.75">
      <c r="A652" s="178">
        <f t="shared" si="37"/>
        <v>575</v>
      </c>
      <c r="B652" s="4"/>
      <c r="C652" s="80" t="s">
        <v>165</v>
      </c>
      <c r="D652" s="25"/>
      <c r="E652" s="47"/>
      <c r="F652" s="154">
        <v>4000</v>
      </c>
      <c r="G652" s="154">
        <v>1600</v>
      </c>
      <c r="H652" s="154">
        <v>1030</v>
      </c>
      <c r="I652" s="199">
        <f t="shared" si="39"/>
        <v>0.64375</v>
      </c>
      <c r="J652" s="129">
        <f t="shared" si="38"/>
        <v>3.241558225649655E-05</v>
      </c>
    </row>
    <row r="653" spans="1:10" ht="12.75">
      <c r="A653" s="178">
        <f t="shared" si="37"/>
        <v>576</v>
      </c>
      <c r="B653" s="4"/>
      <c r="C653" s="80" t="s">
        <v>166</v>
      </c>
      <c r="D653" s="25"/>
      <c r="E653" s="47"/>
      <c r="F653" s="154">
        <v>1850</v>
      </c>
      <c r="G653" s="154">
        <v>1850</v>
      </c>
      <c r="H653" s="154">
        <v>1191</v>
      </c>
      <c r="I653" s="199">
        <f t="shared" si="39"/>
        <v>0.6437837837837838</v>
      </c>
      <c r="J653" s="129">
        <f t="shared" si="38"/>
        <v>3.7482483949016886E-05</v>
      </c>
    </row>
    <row r="654" spans="1:10" ht="12.75">
      <c r="A654" s="178"/>
      <c r="B654" s="4"/>
      <c r="C654" s="80"/>
      <c r="D654" s="25"/>
      <c r="E654" s="47"/>
      <c r="F654" s="154"/>
      <c r="G654" s="154"/>
      <c r="H654" s="154"/>
      <c r="I654" s="199"/>
      <c r="J654" s="129"/>
    </row>
    <row r="655" spans="1:10" ht="12.75">
      <c r="A655" s="178"/>
      <c r="B655" s="4"/>
      <c r="C655" s="80"/>
      <c r="D655" s="25"/>
      <c r="E655" s="47"/>
      <c r="F655" s="154"/>
      <c r="G655" s="154"/>
      <c r="H655" s="154"/>
      <c r="I655" s="199"/>
      <c r="J655" s="129"/>
    </row>
    <row r="656" spans="1:10" ht="12.75">
      <c r="A656" s="178"/>
      <c r="B656" s="4"/>
      <c r="C656" s="80"/>
      <c r="D656" s="25"/>
      <c r="E656" s="47"/>
      <c r="F656" s="154"/>
      <c r="G656" s="154"/>
      <c r="H656" s="154"/>
      <c r="I656" s="199"/>
      <c r="J656" s="129"/>
    </row>
    <row r="657" spans="1:10" ht="12.75">
      <c r="A657" s="178">
        <f>A653+1</f>
        <v>577</v>
      </c>
      <c r="B657" s="4">
        <v>4300</v>
      </c>
      <c r="C657" s="80" t="s">
        <v>151</v>
      </c>
      <c r="D657" s="25"/>
      <c r="E657" s="46">
        <f>SUM(E659:E660)</f>
        <v>100700</v>
      </c>
      <c r="F657" s="28">
        <f>SUM(F659:F660)</f>
        <v>111350</v>
      </c>
      <c r="G657" s="28">
        <f>SUM(G659:G660)</f>
        <v>137050</v>
      </c>
      <c r="H657" s="28">
        <f>SUM(H659:H660)</f>
        <v>128157.31</v>
      </c>
      <c r="I657" s="199">
        <f t="shared" si="39"/>
        <v>0.9351135352061292</v>
      </c>
      <c r="J657" s="129">
        <f t="shared" si="38"/>
        <v>0.004033294974831386</v>
      </c>
    </row>
    <row r="658" spans="1:10" ht="12.75">
      <c r="A658" s="178">
        <f t="shared" si="37"/>
        <v>578</v>
      </c>
      <c r="B658" s="4"/>
      <c r="C658" s="80" t="s">
        <v>15</v>
      </c>
      <c r="D658" s="25"/>
      <c r="E658" s="47"/>
      <c r="F658" s="154"/>
      <c r="G658" s="154"/>
      <c r="H658" s="154"/>
      <c r="I658" s="199"/>
      <c r="J658" s="129"/>
    </row>
    <row r="659" spans="1:10" ht="12.75">
      <c r="A659" s="178">
        <f t="shared" si="37"/>
        <v>579</v>
      </c>
      <c r="B659" s="4"/>
      <c r="C659" s="80" t="s">
        <v>165</v>
      </c>
      <c r="D659" s="25"/>
      <c r="E659" s="47">
        <f>69000</f>
        <v>69000</v>
      </c>
      <c r="F659" s="154">
        <v>89100</v>
      </c>
      <c r="G659" s="154">
        <v>104600</v>
      </c>
      <c r="H659" s="154">
        <v>101057.3</v>
      </c>
      <c r="I659" s="199">
        <f t="shared" si="39"/>
        <v>0.9661309751434035</v>
      </c>
      <c r="J659" s="129">
        <f t="shared" si="38"/>
        <v>0.0031804186609412127</v>
      </c>
    </row>
    <row r="660" spans="1:10" ht="12.75">
      <c r="A660" s="178">
        <f t="shared" si="37"/>
        <v>580</v>
      </c>
      <c r="B660" s="4"/>
      <c r="C660" s="80" t="s">
        <v>166</v>
      </c>
      <c r="D660" s="25"/>
      <c r="E660" s="47">
        <v>31700</v>
      </c>
      <c r="F660" s="154">
        <v>22250</v>
      </c>
      <c r="G660" s="154">
        <v>32450</v>
      </c>
      <c r="H660" s="154">
        <v>27100.01</v>
      </c>
      <c r="I660" s="199">
        <f t="shared" si="39"/>
        <v>0.8351312788906009</v>
      </c>
      <c r="J660" s="129">
        <f t="shared" si="38"/>
        <v>0.0008528763138901739</v>
      </c>
    </row>
    <row r="661" spans="1:10" ht="12.75">
      <c r="A661" s="178">
        <f t="shared" si="37"/>
        <v>581</v>
      </c>
      <c r="B661" s="4">
        <v>4307</v>
      </c>
      <c r="C661" s="80" t="s">
        <v>366</v>
      </c>
      <c r="D661" s="25"/>
      <c r="E661" s="47"/>
      <c r="F661" s="154"/>
      <c r="G661" s="154"/>
      <c r="H661" s="154"/>
      <c r="I661" s="199"/>
      <c r="J661" s="129"/>
    </row>
    <row r="662" spans="1:10" ht="12.75">
      <c r="A662" s="178">
        <f t="shared" si="37"/>
        <v>582</v>
      </c>
      <c r="B662" s="4"/>
      <c r="C662" s="80" t="s">
        <v>364</v>
      </c>
      <c r="D662" s="25"/>
      <c r="E662" s="47"/>
      <c r="F662" s="154">
        <v>1736.05</v>
      </c>
      <c r="G662" s="154">
        <v>0</v>
      </c>
      <c r="H662" s="154">
        <v>0</v>
      </c>
      <c r="I662" s="199"/>
      <c r="J662" s="129">
        <f t="shared" si="38"/>
        <v>0</v>
      </c>
    </row>
    <row r="663" spans="1:10" ht="12.75">
      <c r="A663" s="178">
        <f t="shared" si="37"/>
        <v>583</v>
      </c>
      <c r="B663" s="4">
        <v>4350</v>
      </c>
      <c r="C663" s="80" t="s">
        <v>383</v>
      </c>
      <c r="D663" s="25"/>
      <c r="E663" s="47"/>
      <c r="F663" s="154">
        <f>SUM(F665:F666)</f>
        <v>1000</v>
      </c>
      <c r="G663" s="154">
        <f>SUM(G665:G666)</f>
        <v>1000</v>
      </c>
      <c r="H663" s="154">
        <f>SUM(H665:H666)</f>
        <v>831</v>
      </c>
      <c r="I663" s="199">
        <f t="shared" si="39"/>
        <v>0.831</v>
      </c>
      <c r="J663" s="129">
        <f t="shared" si="38"/>
        <v>2.615276587878508E-05</v>
      </c>
    </row>
    <row r="664" spans="1:10" ht="12.75">
      <c r="A664" s="178">
        <f t="shared" si="37"/>
        <v>584</v>
      </c>
      <c r="B664" s="4"/>
      <c r="C664" s="80" t="s">
        <v>15</v>
      </c>
      <c r="D664" s="25"/>
      <c r="E664" s="47"/>
      <c r="F664" s="154"/>
      <c r="G664" s="154"/>
      <c r="H664" s="154"/>
      <c r="I664" s="199"/>
      <c r="J664" s="129"/>
    </row>
    <row r="665" spans="1:10" ht="12.75">
      <c r="A665" s="178">
        <f t="shared" si="37"/>
        <v>585</v>
      </c>
      <c r="B665" s="4"/>
      <c r="C665" s="80" t="s">
        <v>165</v>
      </c>
      <c r="D665" s="25"/>
      <c r="E665" s="47"/>
      <c r="F665" s="154">
        <v>0</v>
      </c>
      <c r="G665" s="154">
        <v>0</v>
      </c>
      <c r="H665" s="154">
        <v>0</v>
      </c>
      <c r="I665" s="199"/>
      <c r="J665" s="129">
        <f t="shared" si="38"/>
        <v>0</v>
      </c>
    </row>
    <row r="666" spans="1:10" ht="12.75">
      <c r="A666" s="178">
        <f t="shared" si="37"/>
        <v>586</v>
      </c>
      <c r="B666" s="4"/>
      <c r="C666" s="80" t="s">
        <v>166</v>
      </c>
      <c r="D666" s="25"/>
      <c r="E666" s="47"/>
      <c r="F666" s="154">
        <v>1000</v>
      </c>
      <c r="G666" s="154">
        <v>1000</v>
      </c>
      <c r="H666" s="154">
        <v>831</v>
      </c>
      <c r="I666" s="199">
        <f t="shared" si="39"/>
        <v>0.831</v>
      </c>
      <c r="J666" s="129">
        <f t="shared" si="38"/>
        <v>2.615276587878508E-05</v>
      </c>
    </row>
    <row r="667" spans="1:10" ht="12.75">
      <c r="A667" s="178">
        <f t="shared" si="37"/>
        <v>587</v>
      </c>
      <c r="B667" s="4">
        <v>4370</v>
      </c>
      <c r="C667" s="80" t="s">
        <v>368</v>
      </c>
      <c r="D667" s="25"/>
      <c r="E667" s="47"/>
      <c r="F667" s="154"/>
      <c r="G667" s="154"/>
      <c r="H667" s="154"/>
      <c r="I667" s="199"/>
      <c r="J667" s="129"/>
    </row>
    <row r="668" spans="1:10" ht="12.75">
      <c r="A668" s="178">
        <f t="shared" si="37"/>
        <v>588</v>
      </c>
      <c r="B668" s="4"/>
      <c r="C668" s="80" t="s">
        <v>399</v>
      </c>
      <c r="D668" s="25"/>
      <c r="E668" s="47"/>
      <c r="F668" s="154">
        <f>SUM(F670:F671)</f>
        <v>13500</v>
      </c>
      <c r="G668" s="154">
        <f>SUM(G670:G671)</f>
        <v>12000</v>
      </c>
      <c r="H668" s="154">
        <f>SUM(H670:H671)</f>
        <v>9235.55</v>
      </c>
      <c r="I668" s="199">
        <f t="shared" si="39"/>
        <v>0.7696291666666666</v>
      </c>
      <c r="J668" s="129">
        <f t="shared" si="38"/>
        <v>0.00029065604923202593</v>
      </c>
    </row>
    <row r="669" spans="1:10" ht="12.75">
      <c r="A669" s="178">
        <f t="shared" si="37"/>
        <v>589</v>
      </c>
      <c r="B669" s="4"/>
      <c r="C669" s="80" t="s">
        <v>15</v>
      </c>
      <c r="D669" s="25"/>
      <c r="E669" s="47"/>
      <c r="F669" s="154"/>
      <c r="G669" s="154"/>
      <c r="H669" s="154"/>
      <c r="I669" s="199"/>
      <c r="J669" s="129"/>
    </row>
    <row r="670" spans="1:10" ht="12.75">
      <c r="A670" s="178">
        <f t="shared" si="37"/>
        <v>590</v>
      </c>
      <c r="B670" s="4"/>
      <c r="C670" s="80" t="s">
        <v>165</v>
      </c>
      <c r="D670" s="25"/>
      <c r="E670" s="47"/>
      <c r="F670" s="154">
        <v>10000</v>
      </c>
      <c r="G670" s="154">
        <v>10000</v>
      </c>
      <c r="H670" s="154">
        <v>7431.43</v>
      </c>
      <c r="I670" s="199">
        <f t="shared" si="39"/>
        <v>0.743143</v>
      </c>
      <c r="J670" s="129">
        <f t="shared" si="38"/>
        <v>0.00023387779655184096</v>
      </c>
    </row>
    <row r="671" spans="1:10" ht="12.75">
      <c r="A671" s="178">
        <f t="shared" si="37"/>
        <v>591</v>
      </c>
      <c r="B671" s="4"/>
      <c r="C671" s="80" t="s">
        <v>166</v>
      </c>
      <c r="D671" s="25"/>
      <c r="E671" s="47"/>
      <c r="F671" s="154">
        <v>3500</v>
      </c>
      <c r="G671" s="154">
        <v>2000</v>
      </c>
      <c r="H671" s="154">
        <v>1804.12</v>
      </c>
      <c r="I671" s="199">
        <f t="shared" si="39"/>
        <v>0.90206</v>
      </c>
      <c r="J671" s="129">
        <f t="shared" si="38"/>
        <v>5.677825268018501E-05</v>
      </c>
    </row>
    <row r="672" spans="1:10" ht="12.75">
      <c r="A672" s="178">
        <f t="shared" si="37"/>
        <v>592</v>
      </c>
      <c r="B672" s="4">
        <v>4410</v>
      </c>
      <c r="C672" s="80" t="s">
        <v>29</v>
      </c>
      <c r="D672" s="25"/>
      <c r="E672" s="48">
        <f>SUM(E674:E675)</f>
        <v>16100</v>
      </c>
      <c r="F672" s="23">
        <f>SUM(F674:F675)</f>
        <v>5600</v>
      </c>
      <c r="G672" s="23">
        <f>SUM(G674:G675)</f>
        <v>4520</v>
      </c>
      <c r="H672" s="23">
        <f>SUM(H674:H675)</f>
        <v>3879.5299999999997</v>
      </c>
      <c r="I672" s="199">
        <f t="shared" si="39"/>
        <v>0.8583030973451327</v>
      </c>
      <c r="J672" s="129">
        <f t="shared" si="38"/>
        <v>0.00012209439206946218</v>
      </c>
    </row>
    <row r="673" spans="1:10" ht="12.75">
      <c r="A673" s="178">
        <f t="shared" si="37"/>
        <v>593</v>
      </c>
      <c r="B673" s="4"/>
      <c r="C673" s="80" t="s">
        <v>15</v>
      </c>
      <c r="D673" s="25"/>
      <c r="E673" s="47"/>
      <c r="F673" s="154"/>
      <c r="G673" s="154"/>
      <c r="H673" s="154"/>
      <c r="I673" s="199"/>
      <c r="J673" s="129"/>
    </row>
    <row r="674" spans="1:10" ht="12.75">
      <c r="A674" s="178">
        <f t="shared" si="37"/>
        <v>594</v>
      </c>
      <c r="B674" s="4"/>
      <c r="C674" s="80" t="s">
        <v>165</v>
      </c>
      <c r="D674" s="25"/>
      <c r="E674" s="47">
        <v>12100</v>
      </c>
      <c r="F674" s="154">
        <v>2600</v>
      </c>
      <c r="G674" s="154">
        <v>2170</v>
      </c>
      <c r="H674" s="154">
        <v>1913.17</v>
      </c>
      <c r="I674" s="199">
        <f t="shared" si="39"/>
        <v>0.8816451612903227</v>
      </c>
      <c r="J674" s="129">
        <f t="shared" si="38"/>
        <v>6.021021311229273E-05</v>
      </c>
    </row>
    <row r="675" spans="1:10" ht="12.75">
      <c r="A675" s="178">
        <f t="shared" si="37"/>
        <v>595</v>
      </c>
      <c r="B675" s="4"/>
      <c r="C675" s="80" t="s">
        <v>166</v>
      </c>
      <c r="D675" s="25"/>
      <c r="E675" s="47">
        <v>4000</v>
      </c>
      <c r="F675" s="154">
        <v>3000</v>
      </c>
      <c r="G675" s="154">
        <v>2350</v>
      </c>
      <c r="H675" s="154">
        <v>1966.36</v>
      </c>
      <c r="I675" s="199">
        <f t="shared" si="39"/>
        <v>0.8367489361702127</v>
      </c>
      <c r="J675" s="129">
        <f t="shared" si="38"/>
        <v>6.188417895716947E-05</v>
      </c>
    </row>
    <row r="676" spans="1:10" ht="12.75">
      <c r="A676" s="178">
        <f t="shared" si="37"/>
        <v>596</v>
      </c>
      <c r="B676" s="4">
        <v>4420</v>
      </c>
      <c r="C676" s="80" t="s">
        <v>43</v>
      </c>
      <c r="D676" s="25"/>
      <c r="E676" s="47"/>
      <c r="F676" s="154">
        <f>SUM(F678:F679)</f>
        <v>2000</v>
      </c>
      <c r="G676" s="154">
        <f>SUM(G678:G679)</f>
        <v>851.97</v>
      </c>
      <c r="H676" s="154">
        <f>SUM(H678:H679)</f>
        <v>850.66</v>
      </c>
      <c r="I676" s="199">
        <f t="shared" si="39"/>
        <v>0.9984623871732572</v>
      </c>
      <c r="J676" s="129">
        <f t="shared" si="38"/>
        <v>2.6771494371176075E-05</v>
      </c>
    </row>
    <row r="677" spans="1:10" ht="12.75">
      <c r="A677" s="178">
        <f t="shared" si="37"/>
        <v>597</v>
      </c>
      <c r="B677" s="4"/>
      <c r="C677" s="80" t="s">
        <v>15</v>
      </c>
      <c r="D677" s="25"/>
      <c r="E677" s="47"/>
      <c r="F677" s="154"/>
      <c r="G677" s="154"/>
      <c r="H677" s="154"/>
      <c r="I677" s="199"/>
      <c r="J677" s="129"/>
    </row>
    <row r="678" spans="1:10" ht="12.75">
      <c r="A678" s="178">
        <f t="shared" si="37"/>
        <v>598</v>
      </c>
      <c r="B678" s="4"/>
      <c r="C678" s="80" t="s">
        <v>165</v>
      </c>
      <c r="D678" s="25"/>
      <c r="E678" s="47"/>
      <c r="F678" s="154">
        <v>0</v>
      </c>
      <c r="G678" s="154">
        <v>851.97</v>
      </c>
      <c r="H678" s="154">
        <v>850.66</v>
      </c>
      <c r="I678" s="199">
        <f t="shared" si="39"/>
        <v>0.9984623871732572</v>
      </c>
      <c r="J678" s="129">
        <f t="shared" si="38"/>
        <v>2.6771494371176075E-05</v>
      </c>
    </row>
    <row r="679" spans="1:10" ht="12.75">
      <c r="A679" s="178">
        <f t="shared" si="37"/>
        <v>599</v>
      </c>
      <c r="B679" s="4"/>
      <c r="C679" s="80" t="s">
        <v>166</v>
      </c>
      <c r="D679" s="25"/>
      <c r="E679" s="47"/>
      <c r="F679" s="154">
        <v>2000</v>
      </c>
      <c r="G679" s="154">
        <v>0</v>
      </c>
      <c r="H679" s="154">
        <v>0</v>
      </c>
      <c r="I679" s="199"/>
      <c r="J679" s="129">
        <f t="shared" si="38"/>
        <v>0</v>
      </c>
    </row>
    <row r="680" spans="1:10" ht="12.75">
      <c r="A680" s="178">
        <f t="shared" si="37"/>
        <v>600</v>
      </c>
      <c r="B680" s="4">
        <v>4427</v>
      </c>
      <c r="C680" s="80" t="s">
        <v>367</v>
      </c>
      <c r="D680" s="25"/>
      <c r="E680" s="48" t="e">
        <f>SUM(#REF!)</f>
        <v>#REF!</v>
      </c>
      <c r="F680" s="23"/>
      <c r="G680" s="166"/>
      <c r="H680" s="166"/>
      <c r="I680" s="199"/>
      <c r="J680" s="129"/>
    </row>
    <row r="681" spans="1:10" ht="12.75">
      <c r="A681" s="178">
        <f t="shared" si="37"/>
        <v>601</v>
      </c>
      <c r="B681" s="4"/>
      <c r="C681" s="80" t="s">
        <v>364</v>
      </c>
      <c r="D681" s="25"/>
      <c r="E681" s="47"/>
      <c r="F681" s="154">
        <f>4926+10960.51</f>
        <v>15886.51</v>
      </c>
      <c r="G681" s="154">
        <v>60519.08</v>
      </c>
      <c r="H681" s="154">
        <v>48130.87</v>
      </c>
      <c r="I681" s="199">
        <f t="shared" si="39"/>
        <v>0.7953007547371838</v>
      </c>
      <c r="J681" s="129">
        <f t="shared" si="38"/>
        <v>0.0015147477432638275</v>
      </c>
    </row>
    <row r="682" spans="1:10" ht="12.75">
      <c r="A682" s="178">
        <f aca="true" t="shared" si="40" ref="A682:A746">A681+1</f>
        <v>602</v>
      </c>
      <c r="B682" s="4">
        <v>4430</v>
      </c>
      <c r="C682" s="80" t="s">
        <v>40</v>
      </c>
      <c r="D682" s="23"/>
      <c r="E682" s="48">
        <f>SUM(E684:E685)</f>
        <v>6000</v>
      </c>
      <c r="F682" s="23">
        <f>SUM(F684:F685)</f>
        <v>5200</v>
      </c>
      <c r="G682" s="23">
        <f>SUM(G684:G685)</f>
        <v>5065</v>
      </c>
      <c r="H682" s="23">
        <f>SUM(H684:H685)</f>
        <v>4649</v>
      </c>
      <c r="I682" s="199">
        <f t="shared" si="39"/>
        <v>0.91786771964462</v>
      </c>
      <c r="J682" s="129">
        <f t="shared" si="38"/>
        <v>0.00014631072030141018</v>
      </c>
    </row>
    <row r="683" spans="1:10" ht="12.75">
      <c r="A683" s="178">
        <f t="shared" si="40"/>
        <v>603</v>
      </c>
      <c r="B683" s="4"/>
      <c r="C683" s="80" t="s">
        <v>15</v>
      </c>
      <c r="D683" s="25"/>
      <c r="E683" s="47"/>
      <c r="F683" s="154"/>
      <c r="G683" s="154"/>
      <c r="H683" s="154"/>
      <c r="I683" s="199"/>
      <c r="J683" s="129"/>
    </row>
    <row r="684" spans="1:10" ht="12.75">
      <c r="A684" s="178">
        <f t="shared" si="40"/>
        <v>604</v>
      </c>
      <c r="B684" s="4"/>
      <c r="C684" s="80" t="s">
        <v>165</v>
      </c>
      <c r="D684" s="25"/>
      <c r="E684" s="47">
        <v>4000</v>
      </c>
      <c r="F684" s="154">
        <v>3200</v>
      </c>
      <c r="G684" s="154">
        <v>3200</v>
      </c>
      <c r="H684" s="154">
        <v>2784</v>
      </c>
      <c r="I684" s="199">
        <f t="shared" si="39"/>
        <v>0.87</v>
      </c>
      <c r="J684" s="129">
        <f t="shared" si="38"/>
        <v>8.761648640979262E-05</v>
      </c>
    </row>
    <row r="685" spans="1:10" ht="12.75">
      <c r="A685" s="178">
        <f t="shared" si="40"/>
        <v>605</v>
      </c>
      <c r="B685" s="4"/>
      <c r="C685" s="80" t="s">
        <v>166</v>
      </c>
      <c r="D685" s="25"/>
      <c r="E685" s="47">
        <v>2000</v>
      </c>
      <c r="F685" s="154">
        <v>2000</v>
      </c>
      <c r="G685" s="154">
        <v>1865</v>
      </c>
      <c r="H685" s="154">
        <v>1865</v>
      </c>
      <c r="I685" s="199">
        <f t="shared" si="39"/>
        <v>1</v>
      </c>
      <c r="J685" s="129">
        <f t="shared" si="38"/>
        <v>5.8694233891617544E-05</v>
      </c>
    </row>
    <row r="686" spans="1:10" ht="12.75">
      <c r="A686" s="178">
        <f t="shared" si="40"/>
        <v>606</v>
      </c>
      <c r="B686" s="4">
        <v>4440</v>
      </c>
      <c r="C686" s="80" t="s">
        <v>44</v>
      </c>
      <c r="D686" s="25"/>
      <c r="E686" s="48">
        <f>SUM(E688:E689)</f>
        <v>81300</v>
      </c>
      <c r="F686" s="23">
        <f>SUM(F688:F689)</f>
        <v>98300</v>
      </c>
      <c r="G686" s="23">
        <f>SUM(G688:G689)</f>
        <v>101920</v>
      </c>
      <c r="H686" s="23">
        <f>SUM(H688:H689)</f>
        <v>101920</v>
      </c>
      <c r="I686" s="199">
        <f t="shared" si="39"/>
        <v>1</v>
      </c>
      <c r="J686" s="129">
        <f t="shared" si="38"/>
        <v>0.0032075690714389597</v>
      </c>
    </row>
    <row r="687" spans="1:10" ht="12.75">
      <c r="A687" s="178">
        <f t="shared" si="40"/>
        <v>607</v>
      </c>
      <c r="B687" s="4"/>
      <c r="C687" s="80" t="s">
        <v>15</v>
      </c>
      <c r="D687" s="25"/>
      <c r="E687" s="47"/>
      <c r="F687" s="154"/>
      <c r="G687" s="154"/>
      <c r="H687" s="154"/>
      <c r="I687" s="199"/>
      <c r="J687" s="129"/>
    </row>
    <row r="688" spans="1:10" ht="12.75">
      <c r="A688" s="178">
        <f t="shared" si="40"/>
        <v>608</v>
      </c>
      <c r="B688" s="4"/>
      <c r="C688" s="80" t="s">
        <v>165</v>
      </c>
      <c r="D688" s="25"/>
      <c r="E688" s="47">
        <v>63500</v>
      </c>
      <c r="F688" s="154">
        <v>72200</v>
      </c>
      <c r="G688" s="154">
        <v>75820</v>
      </c>
      <c r="H688" s="154">
        <v>75820</v>
      </c>
      <c r="I688" s="199">
        <f t="shared" si="39"/>
        <v>1</v>
      </c>
      <c r="J688" s="129">
        <f t="shared" si="38"/>
        <v>0.002386164511347154</v>
      </c>
    </row>
    <row r="689" spans="1:10" ht="12.75">
      <c r="A689" s="178">
        <f t="shared" si="40"/>
        <v>609</v>
      </c>
      <c r="B689" s="4"/>
      <c r="C689" s="80" t="s">
        <v>166</v>
      </c>
      <c r="D689" s="25"/>
      <c r="E689" s="47">
        <v>17800</v>
      </c>
      <c r="F689" s="154">
        <v>26100</v>
      </c>
      <c r="G689" s="154">
        <v>26100</v>
      </c>
      <c r="H689" s="154">
        <v>26100</v>
      </c>
      <c r="I689" s="199">
        <f t="shared" si="39"/>
        <v>1</v>
      </c>
      <c r="J689" s="129">
        <f t="shared" si="38"/>
        <v>0.0008214045600918058</v>
      </c>
    </row>
    <row r="690" spans="1:10" ht="12.75">
      <c r="A690" s="178">
        <f t="shared" si="40"/>
        <v>610</v>
      </c>
      <c r="B690" s="4">
        <v>4480</v>
      </c>
      <c r="C690" s="80" t="s">
        <v>653</v>
      </c>
      <c r="D690" s="25"/>
      <c r="E690" s="47"/>
      <c r="F690" s="154">
        <v>0</v>
      </c>
      <c r="G690" s="154">
        <v>6.5</v>
      </c>
      <c r="H690" s="154">
        <v>6.5</v>
      </c>
      <c r="I690" s="199">
        <f t="shared" si="39"/>
        <v>1</v>
      </c>
      <c r="J690" s="129">
        <f t="shared" si="38"/>
        <v>2.0456435404585203E-07</v>
      </c>
    </row>
    <row r="691" spans="1:10" ht="12.75">
      <c r="A691" s="178">
        <f t="shared" si="40"/>
        <v>611</v>
      </c>
      <c r="B691" s="4">
        <v>4700</v>
      </c>
      <c r="C691" s="80" t="s">
        <v>398</v>
      </c>
      <c r="D691" s="25"/>
      <c r="E691" s="47"/>
      <c r="F691" s="154"/>
      <c r="G691" s="154"/>
      <c r="H691" s="154"/>
      <c r="I691" s="199"/>
      <c r="J691" s="129"/>
    </row>
    <row r="692" spans="1:10" ht="12.75">
      <c r="A692" s="178">
        <f t="shared" si="40"/>
        <v>612</v>
      </c>
      <c r="B692" s="4"/>
      <c r="C692" s="80" t="s">
        <v>397</v>
      </c>
      <c r="D692" s="25"/>
      <c r="E692" s="47"/>
      <c r="F692" s="154">
        <f>SUM(F694:F695)</f>
        <v>7000</v>
      </c>
      <c r="G692" s="154">
        <f>SUM(G694:G695)</f>
        <v>3000</v>
      </c>
      <c r="H692" s="154">
        <f>SUM(H694:H695)</f>
        <v>2644</v>
      </c>
      <c r="I692" s="199">
        <f t="shared" si="39"/>
        <v>0.8813333333333333</v>
      </c>
      <c r="J692" s="129">
        <f t="shared" si="38"/>
        <v>8.321048493803581E-05</v>
      </c>
    </row>
    <row r="693" spans="1:10" ht="12.75">
      <c r="A693" s="178">
        <f t="shared" si="40"/>
        <v>613</v>
      </c>
      <c r="B693" s="4"/>
      <c r="C693" s="80" t="s">
        <v>15</v>
      </c>
      <c r="D693" s="25"/>
      <c r="E693" s="47"/>
      <c r="F693" s="154"/>
      <c r="G693" s="154"/>
      <c r="H693" s="154"/>
      <c r="I693" s="199"/>
      <c r="J693" s="129"/>
    </row>
    <row r="694" spans="1:10" ht="12.75">
      <c r="A694" s="178">
        <f t="shared" si="40"/>
        <v>614</v>
      </c>
      <c r="B694" s="4"/>
      <c r="C694" s="80" t="s">
        <v>165</v>
      </c>
      <c r="D694" s="25"/>
      <c r="E694" s="47"/>
      <c r="F694" s="154">
        <v>7000</v>
      </c>
      <c r="G694" s="154">
        <v>3000</v>
      </c>
      <c r="H694" s="154">
        <v>2644</v>
      </c>
      <c r="I694" s="199">
        <f t="shared" si="39"/>
        <v>0.8813333333333333</v>
      </c>
      <c r="J694" s="129">
        <f t="shared" si="38"/>
        <v>8.321048493803581E-05</v>
      </c>
    </row>
    <row r="695" spans="1:10" ht="12.75">
      <c r="A695" s="178">
        <f t="shared" si="40"/>
        <v>615</v>
      </c>
      <c r="B695" s="4"/>
      <c r="C695" s="80" t="s">
        <v>166</v>
      </c>
      <c r="D695" s="25"/>
      <c r="E695" s="47"/>
      <c r="F695" s="154">
        <v>0</v>
      </c>
      <c r="G695" s="154">
        <v>0</v>
      </c>
      <c r="H695" s="154">
        <v>0</v>
      </c>
      <c r="I695" s="199"/>
      <c r="J695" s="129">
        <f t="shared" si="38"/>
        <v>0</v>
      </c>
    </row>
    <row r="696" spans="1:10" ht="12.75">
      <c r="A696" s="178">
        <f t="shared" si="40"/>
        <v>616</v>
      </c>
      <c r="B696" s="4">
        <v>4740</v>
      </c>
      <c r="C696" s="80" t="s">
        <v>354</v>
      </c>
      <c r="D696" s="25"/>
      <c r="E696" s="47"/>
      <c r="F696" s="154"/>
      <c r="G696" s="154"/>
      <c r="H696" s="154"/>
      <c r="I696" s="199"/>
      <c r="J696" s="129"/>
    </row>
    <row r="697" spans="1:10" ht="12.75">
      <c r="A697" s="178">
        <f t="shared" si="40"/>
        <v>617</v>
      </c>
      <c r="B697" s="4"/>
      <c r="C697" s="80" t="s">
        <v>355</v>
      </c>
      <c r="D697" s="25"/>
      <c r="E697" s="47"/>
      <c r="F697" s="154">
        <f>SUM(F699:F700)</f>
        <v>6000</v>
      </c>
      <c r="G697" s="154">
        <f>SUM(G699:G700)</f>
        <v>4750</v>
      </c>
      <c r="H697" s="154">
        <f>SUM(H699:H700)</f>
        <v>2648.94</v>
      </c>
      <c r="I697" s="199">
        <f t="shared" si="39"/>
        <v>0.5576715789473684</v>
      </c>
      <c r="J697" s="129">
        <f t="shared" si="38"/>
        <v>8.336595384711066E-05</v>
      </c>
    </row>
    <row r="698" spans="1:10" ht="12.75">
      <c r="A698" s="178">
        <f t="shared" si="40"/>
        <v>618</v>
      </c>
      <c r="B698" s="4"/>
      <c r="C698" s="80" t="s">
        <v>15</v>
      </c>
      <c r="D698" s="25"/>
      <c r="E698" s="47"/>
      <c r="F698" s="154"/>
      <c r="G698" s="154"/>
      <c r="H698" s="154"/>
      <c r="I698" s="199"/>
      <c r="J698" s="129"/>
    </row>
    <row r="699" spans="1:10" ht="12.75">
      <c r="A699" s="178">
        <f t="shared" si="40"/>
        <v>619</v>
      </c>
      <c r="B699" s="4"/>
      <c r="C699" s="80" t="s">
        <v>165</v>
      </c>
      <c r="D699" s="25"/>
      <c r="E699" s="47"/>
      <c r="F699" s="154">
        <v>3000</v>
      </c>
      <c r="G699" s="154">
        <v>3000</v>
      </c>
      <c r="H699" s="154">
        <v>907.33</v>
      </c>
      <c r="I699" s="199">
        <f t="shared" si="39"/>
        <v>0.30244333333333334</v>
      </c>
      <c r="J699" s="129">
        <f t="shared" si="38"/>
        <v>2.8554980824065065E-05</v>
      </c>
    </row>
    <row r="700" spans="1:10" ht="12.75">
      <c r="A700" s="178">
        <f t="shared" si="40"/>
        <v>620</v>
      </c>
      <c r="B700" s="4"/>
      <c r="C700" s="80" t="s">
        <v>166</v>
      </c>
      <c r="D700" s="25"/>
      <c r="E700" s="47"/>
      <c r="F700" s="154">
        <v>3000</v>
      </c>
      <c r="G700" s="154">
        <v>1750</v>
      </c>
      <c r="H700" s="154">
        <v>1741.61</v>
      </c>
      <c r="I700" s="199">
        <f t="shared" si="39"/>
        <v>0.9952057142857142</v>
      </c>
      <c r="J700" s="129">
        <f t="shared" si="38"/>
        <v>5.481097302304559E-05</v>
      </c>
    </row>
    <row r="701" spans="1:10" ht="12.75">
      <c r="A701" s="178">
        <f t="shared" si="40"/>
        <v>621</v>
      </c>
      <c r="B701" s="4">
        <v>4750</v>
      </c>
      <c r="C701" s="80" t="s">
        <v>356</v>
      </c>
      <c r="D701" s="25"/>
      <c r="E701" s="47"/>
      <c r="F701" s="154"/>
      <c r="G701" s="154"/>
      <c r="H701" s="154"/>
      <c r="I701" s="199"/>
      <c r="J701" s="129"/>
    </row>
    <row r="702" spans="1:10" ht="12.75">
      <c r="A702" s="178">
        <f t="shared" si="40"/>
        <v>622</v>
      </c>
      <c r="B702" s="4"/>
      <c r="C702" s="80" t="s">
        <v>357</v>
      </c>
      <c r="D702" s="25"/>
      <c r="E702" s="47"/>
      <c r="F702" s="154">
        <f>SUM(F704:F705)</f>
        <v>28600</v>
      </c>
      <c r="G702" s="154">
        <f>SUM(G704:G705)</f>
        <v>26100</v>
      </c>
      <c r="H702" s="154">
        <f>SUM(H704:H705)</f>
        <v>18020.82</v>
      </c>
      <c r="I702" s="199">
        <f t="shared" si="39"/>
        <v>0.6904528735632184</v>
      </c>
      <c r="J702" s="129">
        <f t="shared" si="38"/>
        <v>0.0005671411388733186</v>
      </c>
    </row>
    <row r="703" spans="1:10" ht="12.75">
      <c r="A703" s="178">
        <f t="shared" si="40"/>
        <v>623</v>
      </c>
      <c r="B703" s="4"/>
      <c r="C703" s="80" t="s">
        <v>15</v>
      </c>
      <c r="D703" s="25"/>
      <c r="E703" s="47"/>
      <c r="F703" s="154"/>
      <c r="G703" s="154"/>
      <c r="H703" s="154"/>
      <c r="I703" s="199"/>
      <c r="J703" s="129"/>
    </row>
    <row r="704" spans="1:10" ht="12.75">
      <c r="A704" s="178">
        <f t="shared" si="40"/>
        <v>624</v>
      </c>
      <c r="B704" s="4"/>
      <c r="C704" s="80" t="s">
        <v>165</v>
      </c>
      <c r="D704" s="25"/>
      <c r="E704" s="47"/>
      <c r="F704" s="154">
        <f>6000+21000</f>
        <v>27000</v>
      </c>
      <c r="G704" s="154">
        <v>24500</v>
      </c>
      <c r="H704" s="154">
        <v>16493.23</v>
      </c>
      <c r="I704" s="199">
        <f t="shared" si="39"/>
        <v>0.6731930612244897</v>
      </c>
      <c r="J704" s="129">
        <f t="shared" si="38"/>
        <v>0.0005190656832430258</v>
      </c>
    </row>
    <row r="705" spans="1:10" ht="12.75">
      <c r="A705" s="178">
        <f t="shared" si="40"/>
        <v>625</v>
      </c>
      <c r="B705" s="4"/>
      <c r="C705" s="80" t="s">
        <v>166</v>
      </c>
      <c r="D705" s="25"/>
      <c r="E705" s="47"/>
      <c r="F705" s="154">
        <v>1600</v>
      </c>
      <c r="G705" s="154">
        <v>1600</v>
      </c>
      <c r="H705" s="154">
        <v>1527.59</v>
      </c>
      <c r="I705" s="199">
        <f t="shared" si="39"/>
        <v>0.95474375</v>
      </c>
      <c r="J705" s="129">
        <f aca="true" t="shared" si="41" ref="J705:J769">H705/H$54</f>
        <v>4.807545563029278E-05</v>
      </c>
    </row>
    <row r="706" spans="1:10" ht="11.25" customHeight="1">
      <c r="A706" s="178">
        <f t="shared" si="40"/>
        <v>626</v>
      </c>
      <c r="B706" s="4">
        <v>6050</v>
      </c>
      <c r="C706" s="80" t="s">
        <v>234</v>
      </c>
      <c r="D706" s="25"/>
      <c r="E706" s="47"/>
      <c r="F706" s="154"/>
      <c r="G706" s="154"/>
      <c r="H706" s="154"/>
      <c r="I706" s="199"/>
      <c r="J706" s="129"/>
    </row>
    <row r="707" spans="1:10" ht="12.75">
      <c r="A707" s="178">
        <f t="shared" si="40"/>
        <v>627</v>
      </c>
      <c r="B707" s="4"/>
      <c r="C707" s="80" t="s">
        <v>164</v>
      </c>
      <c r="D707" s="25"/>
      <c r="E707" s="46">
        <f>SUM(E709:E709)</f>
        <v>3900</v>
      </c>
      <c r="F707" s="28">
        <f>SUM(F709:F709)</f>
        <v>0</v>
      </c>
      <c r="G707" s="28">
        <f>SUM(G709:G709)</f>
        <v>145000</v>
      </c>
      <c r="H707" s="28">
        <f>SUM(H709:H709)</f>
        <v>118622.42</v>
      </c>
      <c r="I707" s="199">
        <f aca="true" t="shared" si="42" ref="I707:I770">H707/G707</f>
        <v>0.8180856551724138</v>
      </c>
      <c r="J707" s="129">
        <f t="shared" si="41"/>
        <v>0.003733218265023963</v>
      </c>
    </row>
    <row r="708" spans="1:10" ht="12.75">
      <c r="A708" s="178">
        <f t="shared" si="40"/>
        <v>628</v>
      </c>
      <c r="B708" s="4"/>
      <c r="C708" s="80" t="s">
        <v>15</v>
      </c>
      <c r="D708" s="25"/>
      <c r="E708" s="47"/>
      <c r="F708" s="154"/>
      <c r="G708" s="154"/>
      <c r="H708" s="154"/>
      <c r="I708" s="199"/>
      <c r="J708" s="129"/>
    </row>
    <row r="709" spans="1:10" ht="12.75">
      <c r="A709" s="178">
        <f t="shared" si="40"/>
        <v>629</v>
      </c>
      <c r="B709" s="4"/>
      <c r="C709" s="80" t="s">
        <v>575</v>
      </c>
      <c r="D709" s="25"/>
      <c r="E709" s="47">
        <v>3900</v>
      </c>
      <c r="F709" s="154">
        <v>0</v>
      </c>
      <c r="G709" s="154">
        <v>145000</v>
      </c>
      <c r="H709" s="154">
        <v>118622.42</v>
      </c>
      <c r="I709" s="199">
        <f t="shared" si="42"/>
        <v>0.8180856551724138</v>
      </c>
      <c r="J709" s="129">
        <f t="shared" si="41"/>
        <v>0.003733218265023963</v>
      </c>
    </row>
    <row r="710" spans="1:10" ht="12.75">
      <c r="A710" s="178">
        <f t="shared" si="40"/>
        <v>630</v>
      </c>
      <c r="B710" s="4">
        <v>6060</v>
      </c>
      <c r="C710" s="80" t="s">
        <v>235</v>
      </c>
      <c r="D710" s="25"/>
      <c r="E710" s="47"/>
      <c r="F710" s="154"/>
      <c r="G710" s="154"/>
      <c r="H710" s="154"/>
      <c r="I710" s="199"/>
      <c r="J710" s="129"/>
    </row>
    <row r="711" spans="1:10" ht="12.75">
      <c r="A711" s="178">
        <f t="shared" si="40"/>
        <v>631</v>
      </c>
      <c r="B711" s="4"/>
      <c r="C711" s="80" t="s">
        <v>576</v>
      </c>
      <c r="D711" s="25"/>
      <c r="E711" s="47"/>
      <c r="F711" s="154">
        <v>5000</v>
      </c>
      <c r="G711" s="154">
        <v>7500</v>
      </c>
      <c r="H711" s="154">
        <v>7320</v>
      </c>
      <c r="I711" s="199">
        <f t="shared" si="42"/>
        <v>0.976</v>
      </c>
      <c r="J711" s="129">
        <f t="shared" si="41"/>
        <v>0.00023037093409471337</v>
      </c>
    </row>
    <row r="712" spans="1:10" s="74" customFormat="1" ht="12.75">
      <c r="A712" s="178">
        <f t="shared" si="40"/>
        <v>632</v>
      </c>
      <c r="B712" s="63">
        <v>80103</v>
      </c>
      <c r="C712" s="69" t="s">
        <v>294</v>
      </c>
      <c r="D712" s="64"/>
      <c r="E712" s="73"/>
      <c r="F712" s="164"/>
      <c r="G712" s="164"/>
      <c r="H712" s="164"/>
      <c r="I712" s="199"/>
      <c r="J712" s="135"/>
    </row>
    <row r="713" spans="1:10" s="74" customFormat="1" ht="12.75">
      <c r="A713" s="178">
        <f t="shared" si="40"/>
        <v>633</v>
      </c>
      <c r="B713" s="148"/>
      <c r="C713" s="69" t="s">
        <v>293</v>
      </c>
      <c r="D713" s="64"/>
      <c r="E713" s="73"/>
      <c r="F713" s="164">
        <f>SUM(F714:F719)</f>
        <v>34845</v>
      </c>
      <c r="G713" s="164">
        <f>SUM(G714:G719)</f>
        <v>35920</v>
      </c>
      <c r="H713" s="164">
        <f>SUM(H714:H719)</f>
        <v>33480.09</v>
      </c>
      <c r="I713" s="199">
        <f t="shared" si="42"/>
        <v>0.9320737750556792</v>
      </c>
      <c r="J713" s="129">
        <f t="shared" si="41"/>
        <v>0.0010536666129610753</v>
      </c>
    </row>
    <row r="714" spans="1:10" ht="12.75">
      <c r="A714" s="178">
        <f t="shared" si="40"/>
        <v>634</v>
      </c>
      <c r="B714" s="4">
        <v>3020</v>
      </c>
      <c r="C714" s="80" t="s">
        <v>266</v>
      </c>
      <c r="D714" s="25"/>
      <c r="E714" s="46">
        <v>2700</v>
      </c>
      <c r="F714" s="154">
        <v>2442</v>
      </c>
      <c r="G714" s="154">
        <v>2507</v>
      </c>
      <c r="H714" s="154">
        <v>2503.2</v>
      </c>
      <c r="I714" s="199">
        <f t="shared" si="42"/>
        <v>0.9984842441164739</v>
      </c>
      <c r="J714" s="129">
        <f t="shared" si="41"/>
        <v>7.87793063150118E-05</v>
      </c>
    </row>
    <row r="715" spans="1:10" ht="12.75">
      <c r="A715" s="178">
        <f t="shared" si="40"/>
        <v>635</v>
      </c>
      <c r="B715" s="4">
        <v>4010</v>
      </c>
      <c r="C715" s="80" t="s">
        <v>27</v>
      </c>
      <c r="D715" s="25"/>
      <c r="E715" s="46">
        <v>65850</v>
      </c>
      <c r="F715" s="154">
        <v>22990</v>
      </c>
      <c r="G715" s="154">
        <v>23820</v>
      </c>
      <c r="H715" s="154">
        <v>21766.84</v>
      </c>
      <c r="I715" s="199">
        <f t="shared" si="42"/>
        <v>0.9138052057094879</v>
      </c>
      <c r="J715" s="129">
        <f t="shared" si="41"/>
        <v>0.000685033779110679</v>
      </c>
    </row>
    <row r="716" spans="1:10" ht="12.75">
      <c r="A716" s="178">
        <f t="shared" si="40"/>
        <v>636</v>
      </c>
      <c r="B716" s="4">
        <v>4040</v>
      </c>
      <c r="C716" s="80" t="s">
        <v>28</v>
      </c>
      <c r="D716" s="25"/>
      <c r="E716" s="46">
        <v>5000</v>
      </c>
      <c r="F716" s="154">
        <v>1960</v>
      </c>
      <c r="G716" s="154">
        <v>1960</v>
      </c>
      <c r="H716" s="154">
        <v>1833.1</v>
      </c>
      <c r="I716" s="199">
        <f t="shared" si="42"/>
        <v>0.9352551020408163</v>
      </c>
      <c r="J716" s="129">
        <f t="shared" si="41"/>
        <v>5.7690294984838664E-05</v>
      </c>
    </row>
    <row r="717" spans="1:10" ht="12.75">
      <c r="A717" s="178">
        <f t="shared" si="40"/>
        <v>637</v>
      </c>
      <c r="B717" s="4">
        <v>4110</v>
      </c>
      <c r="C717" s="80" t="s">
        <v>32</v>
      </c>
      <c r="D717" s="25"/>
      <c r="E717" s="46">
        <v>12930</v>
      </c>
      <c r="F717" s="154">
        <v>4800</v>
      </c>
      <c r="G717" s="154">
        <v>4960</v>
      </c>
      <c r="H717" s="154">
        <v>4729.11</v>
      </c>
      <c r="I717" s="199">
        <f t="shared" si="42"/>
        <v>0.9534495967741935</v>
      </c>
      <c r="J717" s="129">
        <f t="shared" si="41"/>
        <v>0.00014883189728642757</v>
      </c>
    </row>
    <row r="718" spans="1:10" ht="12.75">
      <c r="A718" s="178">
        <f t="shared" si="40"/>
        <v>638</v>
      </c>
      <c r="B718" s="4">
        <v>4120</v>
      </c>
      <c r="C718" s="80" t="s">
        <v>33</v>
      </c>
      <c r="D718" s="25"/>
      <c r="E718" s="46">
        <v>1800</v>
      </c>
      <c r="F718" s="154">
        <v>678</v>
      </c>
      <c r="G718" s="154">
        <v>698</v>
      </c>
      <c r="H718" s="154">
        <v>672.84</v>
      </c>
      <c r="I718" s="199">
        <f t="shared" si="42"/>
        <v>0.9639541547277938</v>
      </c>
      <c r="J718" s="129">
        <f t="shared" si="41"/>
        <v>2.1175243073263245E-05</v>
      </c>
    </row>
    <row r="719" spans="1:10" ht="12.75">
      <c r="A719" s="178">
        <f t="shared" si="40"/>
        <v>639</v>
      </c>
      <c r="B719" s="4">
        <v>4440</v>
      </c>
      <c r="C719" s="80" t="s">
        <v>46</v>
      </c>
      <c r="D719" s="25"/>
      <c r="E719" s="46">
        <v>4320</v>
      </c>
      <c r="F719" s="154">
        <v>1975</v>
      </c>
      <c r="G719" s="154">
        <v>1975</v>
      </c>
      <c r="H719" s="154">
        <v>1975</v>
      </c>
      <c r="I719" s="199">
        <f t="shared" si="42"/>
        <v>1</v>
      </c>
      <c r="J719" s="129">
        <f t="shared" si="41"/>
        <v>6.215609219085504E-05</v>
      </c>
    </row>
    <row r="720" spans="1:10" s="74" customFormat="1" ht="12.75">
      <c r="A720" s="178">
        <f t="shared" si="40"/>
        <v>640</v>
      </c>
      <c r="B720" s="63">
        <v>80104</v>
      </c>
      <c r="C720" s="69" t="s">
        <v>225</v>
      </c>
      <c r="D720" s="64"/>
      <c r="E720" s="65">
        <f>SUM(E721:E740)</f>
        <v>92600</v>
      </c>
      <c r="F720" s="64">
        <f>SUM(F721:F748)</f>
        <v>1328641</v>
      </c>
      <c r="G720" s="64">
        <f>SUM(G721:G748)</f>
        <v>1419228</v>
      </c>
      <c r="H720" s="64">
        <f>SUM(H721:H748)</f>
        <v>1379845.0200000003</v>
      </c>
      <c r="I720" s="199">
        <f t="shared" si="42"/>
        <v>0.9722504206512275</v>
      </c>
      <c r="J720" s="129">
        <f t="shared" si="41"/>
        <v>0.04342570849225936</v>
      </c>
    </row>
    <row r="721" spans="1:10" ht="12.75">
      <c r="A721" s="178">
        <f t="shared" si="40"/>
        <v>641</v>
      </c>
      <c r="B721" s="4">
        <v>3020</v>
      </c>
      <c r="C721" s="80" t="s">
        <v>266</v>
      </c>
      <c r="D721" s="25"/>
      <c r="E721" s="46">
        <v>2700</v>
      </c>
      <c r="F721" s="154">
        <v>3800</v>
      </c>
      <c r="G721" s="154">
        <v>2700</v>
      </c>
      <c r="H721" s="154">
        <v>2658.3</v>
      </c>
      <c r="I721" s="199">
        <f t="shared" si="42"/>
        <v>0.9845555555555556</v>
      </c>
      <c r="J721" s="129">
        <f t="shared" si="41"/>
        <v>8.36605265169367E-05</v>
      </c>
    </row>
    <row r="722" spans="1:10" ht="12.75">
      <c r="A722" s="178">
        <f t="shared" si="40"/>
        <v>642</v>
      </c>
      <c r="B722" s="4">
        <v>4010</v>
      </c>
      <c r="C722" s="80" t="s">
        <v>27</v>
      </c>
      <c r="D722" s="25"/>
      <c r="E722" s="46">
        <v>65850</v>
      </c>
      <c r="F722" s="154">
        <v>711391</v>
      </c>
      <c r="G722" s="154">
        <v>740768</v>
      </c>
      <c r="H722" s="154">
        <v>740694.9</v>
      </c>
      <c r="I722" s="199">
        <f t="shared" si="42"/>
        <v>0.9999013186314744</v>
      </c>
      <c r="J722" s="129">
        <f t="shared" si="41"/>
        <v>0.02331073442516261</v>
      </c>
    </row>
    <row r="723" spans="1:10" ht="12.75">
      <c r="A723" s="178">
        <f t="shared" si="40"/>
        <v>643</v>
      </c>
      <c r="B723" s="4">
        <v>4040</v>
      </c>
      <c r="C723" s="80" t="s">
        <v>28</v>
      </c>
      <c r="D723" s="25"/>
      <c r="E723" s="46">
        <v>5000</v>
      </c>
      <c r="F723" s="154">
        <v>54000</v>
      </c>
      <c r="G723" s="154">
        <v>50410</v>
      </c>
      <c r="H723" s="154">
        <v>50407.6</v>
      </c>
      <c r="I723" s="199">
        <f t="shared" si="42"/>
        <v>0.9999523903987304</v>
      </c>
      <c r="J723" s="129">
        <f t="shared" si="41"/>
        <v>0.0015863997127694908</v>
      </c>
    </row>
    <row r="724" spans="1:10" ht="12.75">
      <c r="A724" s="178">
        <f t="shared" si="40"/>
        <v>644</v>
      </c>
      <c r="B724" s="4">
        <v>4110</v>
      </c>
      <c r="C724" s="80" t="s">
        <v>32</v>
      </c>
      <c r="D724" s="25"/>
      <c r="E724" s="46">
        <v>12930</v>
      </c>
      <c r="F724" s="154">
        <v>131100</v>
      </c>
      <c r="G724" s="154">
        <v>135650</v>
      </c>
      <c r="H724" s="154">
        <v>135650</v>
      </c>
      <c r="I724" s="199">
        <f t="shared" si="42"/>
        <v>1</v>
      </c>
      <c r="J724" s="129">
        <f t="shared" si="41"/>
        <v>0.004269100711741512</v>
      </c>
    </row>
    <row r="725" spans="1:10" ht="12.75">
      <c r="A725" s="178">
        <f t="shared" si="40"/>
        <v>645</v>
      </c>
      <c r="B725" s="4">
        <v>4120</v>
      </c>
      <c r="C725" s="80" t="s">
        <v>33</v>
      </c>
      <c r="D725" s="25"/>
      <c r="E725" s="46">
        <v>1800</v>
      </c>
      <c r="F725" s="154">
        <v>17900</v>
      </c>
      <c r="G725" s="154">
        <v>18750</v>
      </c>
      <c r="H725" s="154">
        <v>18750</v>
      </c>
      <c r="I725" s="199">
        <f t="shared" si="42"/>
        <v>1</v>
      </c>
      <c r="J725" s="129">
        <f t="shared" si="41"/>
        <v>0.0005900894828245732</v>
      </c>
    </row>
    <row r="726" spans="1:10" ht="12.75">
      <c r="A726" s="178">
        <f t="shared" si="40"/>
        <v>646</v>
      </c>
      <c r="B726" s="4">
        <v>4140</v>
      </c>
      <c r="C726" s="80" t="s">
        <v>177</v>
      </c>
      <c r="D726" s="25"/>
      <c r="E726" s="46"/>
      <c r="F726" s="154">
        <v>0</v>
      </c>
      <c r="G726" s="154">
        <v>17590</v>
      </c>
      <c r="H726" s="154">
        <v>17590</v>
      </c>
      <c r="I726" s="199">
        <f t="shared" si="42"/>
        <v>1</v>
      </c>
      <c r="J726" s="129">
        <f t="shared" si="41"/>
        <v>0.0005535826134871596</v>
      </c>
    </row>
    <row r="727" spans="1:10" ht="12.75">
      <c r="A727" s="178">
        <f t="shared" si="40"/>
        <v>647</v>
      </c>
      <c r="B727" s="4">
        <v>4210</v>
      </c>
      <c r="C727" s="80" t="s">
        <v>153</v>
      </c>
      <c r="D727" s="25"/>
      <c r="E727" s="46"/>
      <c r="F727" s="154">
        <v>40900</v>
      </c>
      <c r="G727" s="154">
        <v>42900</v>
      </c>
      <c r="H727" s="154">
        <v>42053.76</v>
      </c>
      <c r="I727" s="199">
        <f t="shared" si="42"/>
        <v>0.9802741258741259</v>
      </c>
      <c r="J727" s="129">
        <f t="shared" si="41"/>
        <v>0.0013234923460921986</v>
      </c>
    </row>
    <row r="728" spans="1:10" ht="12.75">
      <c r="A728" s="178">
        <f t="shared" si="40"/>
        <v>648</v>
      </c>
      <c r="B728" s="4">
        <v>4220</v>
      </c>
      <c r="C728" s="80" t="s">
        <v>159</v>
      </c>
      <c r="D728" s="25"/>
      <c r="E728" s="46"/>
      <c r="F728" s="154">
        <v>123680</v>
      </c>
      <c r="G728" s="154">
        <v>123680</v>
      </c>
      <c r="H728" s="154">
        <v>86332.14</v>
      </c>
      <c r="I728" s="199">
        <f t="shared" si="42"/>
        <v>0.698028298835705</v>
      </c>
      <c r="J728" s="129">
        <f t="shared" si="41"/>
        <v>0.002716996684999394</v>
      </c>
    </row>
    <row r="729" spans="1:10" ht="12.75">
      <c r="A729" s="178">
        <f t="shared" si="40"/>
        <v>649</v>
      </c>
      <c r="B729" s="4">
        <v>4240</v>
      </c>
      <c r="C729" s="80" t="s">
        <v>160</v>
      </c>
      <c r="D729" s="25"/>
      <c r="E729" s="46"/>
      <c r="F729" s="154"/>
      <c r="G729" s="154"/>
      <c r="H729" s="154"/>
      <c r="I729" s="199"/>
      <c r="J729" s="129"/>
    </row>
    <row r="730" spans="1:10" ht="12.75">
      <c r="A730" s="178">
        <f t="shared" si="40"/>
        <v>650</v>
      </c>
      <c r="B730" s="4"/>
      <c r="C730" s="80" t="s">
        <v>161</v>
      </c>
      <c r="D730" s="25"/>
      <c r="E730" s="46"/>
      <c r="F730" s="154">
        <v>10000</v>
      </c>
      <c r="G730" s="154">
        <v>11650</v>
      </c>
      <c r="H730" s="154">
        <v>11634.85</v>
      </c>
      <c r="I730" s="199">
        <f t="shared" si="42"/>
        <v>0.9986995708154507</v>
      </c>
      <c r="J730" s="129">
        <f t="shared" si="41"/>
        <v>0.00036616547302621255</v>
      </c>
    </row>
    <row r="731" spans="1:10" ht="12.75">
      <c r="A731" s="178">
        <f t="shared" si="40"/>
        <v>651</v>
      </c>
      <c r="B731" s="4">
        <v>4260</v>
      </c>
      <c r="C731" s="80" t="s">
        <v>155</v>
      </c>
      <c r="D731" s="25"/>
      <c r="E731" s="46"/>
      <c r="F731" s="154">
        <v>80800</v>
      </c>
      <c r="G731" s="154">
        <v>48800</v>
      </c>
      <c r="H731" s="154">
        <v>48737.07</v>
      </c>
      <c r="I731" s="199">
        <f t="shared" si="42"/>
        <v>0.9987104508196721</v>
      </c>
      <c r="J731" s="129">
        <f t="shared" si="41"/>
        <v>0.0015338257296365343</v>
      </c>
    </row>
    <row r="732" spans="1:10" ht="12.75">
      <c r="A732" s="178">
        <f t="shared" si="40"/>
        <v>652</v>
      </c>
      <c r="B732" s="4">
        <v>4270</v>
      </c>
      <c r="C732" s="80" t="s">
        <v>152</v>
      </c>
      <c r="D732" s="25"/>
      <c r="E732" s="46"/>
      <c r="F732" s="154">
        <v>80000</v>
      </c>
      <c r="G732" s="154">
        <v>43500</v>
      </c>
      <c r="H732" s="154">
        <v>43420.62</v>
      </c>
      <c r="I732" s="199">
        <f t="shared" si="42"/>
        <v>0.9981751724137932</v>
      </c>
      <c r="J732" s="129">
        <f t="shared" si="41"/>
        <v>0.0013665093973185237</v>
      </c>
    </row>
    <row r="733" spans="1:10" ht="12.75">
      <c r="A733" s="178">
        <f t="shared" si="40"/>
        <v>653</v>
      </c>
      <c r="B733" s="4">
        <v>4280</v>
      </c>
      <c r="C733" s="80" t="s">
        <v>326</v>
      </c>
      <c r="D733" s="25"/>
      <c r="E733" s="46"/>
      <c r="F733" s="154">
        <v>980</v>
      </c>
      <c r="G733" s="154">
        <v>1780</v>
      </c>
      <c r="H733" s="154">
        <v>1610.4</v>
      </c>
      <c r="I733" s="199">
        <f t="shared" si="42"/>
        <v>0.9047191011235955</v>
      </c>
      <c r="J733" s="129">
        <f t="shared" si="41"/>
        <v>5.068160550083694E-05</v>
      </c>
    </row>
    <row r="734" spans="1:10" ht="12.75">
      <c r="A734" s="178">
        <f t="shared" si="40"/>
        <v>654</v>
      </c>
      <c r="B734" s="4">
        <v>4300</v>
      </c>
      <c r="C734" s="80" t="s">
        <v>163</v>
      </c>
      <c r="D734" s="25"/>
      <c r="E734" s="46"/>
      <c r="F734" s="154">
        <v>15600</v>
      </c>
      <c r="G734" s="154">
        <v>13790</v>
      </c>
      <c r="H734" s="154">
        <v>13439.16</v>
      </c>
      <c r="I734" s="199">
        <f t="shared" si="42"/>
        <v>0.9745583756345177</v>
      </c>
      <c r="J734" s="129">
        <f t="shared" si="41"/>
        <v>0.00042294970527982347</v>
      </c>
    </row>
    <row r="735" spans="1:10" ht="12.75">
      <c r="A735" s="178">
        <f t="shared" si="40"/>
        <v>655</v>
      </c>
      <c r="B735" s="4">
        <v>4350</v>
      </c>
      <c r="C735" s="80" t="s">
        <v>382</v>
      </c>
      <c r="D735" s="25"/>
      <c r="E735" s="46"/>
      <c r="F735" s="154">
        <v>0</v>
      </c>
      <c r="G735" s="154">
        <v>900</v>
      </c>
      <c r="H735" s="154">
        <v>685.6</v>
      </c>
      <c r="I735" s="199">
        <f t="shared" si="42"/>
        <v>0.7617777777777778</v>
      </c>
      <c r="J735" s="129">
        <f t="shared" si="41"/>
        <v>2.1576818635974792E-05</v>
      </c>
    </row>
    <row r="736" spans="1:10" ht="12.75">
      <c r="A736" s="178">
        <f t="shared" si="40"/>
        <v>656</v>
      </c>
      <c r="B736" s="4">
        <v>4370</v>
      </c>
      <c r="C736" s="80" t="s">
        <v>368</v>
      </c>
      <c r="D736" s="25"/>
      <c r="E736" s="46"/>
      <c r="F736" s="154"/>
      <c r="G736" s="154"/>
      <c r="H736" s="154"/>
      <c r="I736" s="199"/>
      <c r="J736" s="129"/>
    </row>
    <row r="737" spans="1:10" ht="12.75">
      <c r="A737" s="178">
        <f t="shared" si="40"/>
        <v>657</v>
      </c>
      <c r="B737" s="4"/>
      <c r="C737" s="80" t="s">
        <v>394</v>
      </c>
      <c r="D737" s="25"/>
      <c r="E737" s="46"/>
      <c r="F737" s="154">
        <v>5200</v>
      </c>
      <c r="G737" s="154">
        <v>5200</v>
      </c>
      <c r="H737" s="154">
        <v>5127.34</v>
      </c>
      <c r="I737" s="199">
        <f t="shared" si="42"/>
        <v>0.9860269230769231</v>
      </c>
      <c r="J737" s="129">
        <f t="shared" si="41"/>
        <v>0.00016136476847283983</v>
      </c>
    </row>
    <row r="738" spans="1:10" ht="12.75">
      <c r="A738" s="178">
        <f t="shared" si="40"/>
        <v>658</v>
      </c>
      <c r="B738" s="4">
        <v>4410</v>
      </c>
      <c r="C738" s="80" t="s">
        <v>29</v>
      </c>
      <c r="D738" s="25"/>
      <c r="E738" s="46"/>
      <c r="F738" s="154">
        <v>900</v>
      </c>
      <c r="G738" s="154">
        <v>1400</v>
      </c>
      <c r="H738" s="154">
        <v>1385.73</v>
      </c>
      <c r="I738" s="199">
        <f t="shared" si="42"/>
        <v>0.9898071428571429</v>
      </c>
      <c r="J738" s="129">
        <f t="shared" si="41"/>
        <v>4.361091728183978E-05</v>
      </c>
    </row>
    <row r="739" spans="1:10" ht="12.75">
      <c r="A739" s="178">
        <f t="shared" si="40"/>
        <v>659</v>
      </c>
      <c r="B739" s="4">
        <v>4430</v>
      </c>
      <c r="C739" s="80" t="s">
        <v>40</v>
      </c>
      <c r="D739" s="25"/>
      <c r="E739" s="46"/>
      <c r="F739" s="154">
        <v>1100</v>
      </c>
      <c r="G739" s="154">
        <v>1720</v>
      </c>
      <c r="H739" s="154">
        <v>1692.58</v>
      </c>
      <c r="I739" s="199">
        <f t="shared" si="42"/>
        <v>0.9840581395348836</v>
      </c>
      <c r="J739" s="129">
        <f t="shared" si="41"/>
        <v>5.3267928364758186E-05</v>
      </c>
    </row>
    <row r="740" spans="1:10" ht="12.75">
      <c r="A740" s="178">
        <f t="shared" si="40"/>
        <v>660</v>
      </c>
      <c r="B740" s="4">
        <v>4440</v>
      </c>
      <c r="C740" s="80" t="s">
        <v>46</v>
      </c>
      <c r="D740" s="25"/>
      <c r="E740" s="46">
        <v>4320</v>
      </c>
      <c r="F740" s="154">
        <v>35500</v>
      </c>
      <c r="G740" s="154">
        <v>40190</v>
      </c>
      <c r="H740" s="154">
        <v>40190</v>
      </c>
      <c r="I740" s="199">
        <f t="shared" si="42"/>
        <v>1</v>
      </c>
      <c r="J740" s="129">
        <f t="shared" si="41"/>
        <v>0.001264837136785045</v>
      </c>
    </row>
    <row r="741" spans="1:10" ht="12.75">
      <c r="A741" s="178">
        <f t="shared" si="40"/>
        <v>661</v>
      </c>
      <c r="B741" s="4">
        <v>4700</v>
      </c>
      <c r="C741" s="80" t="s">
        <v>398</v>
      </c>
      <c r="D741" s="25"/>
      <c r="E741" s="46"/>
      <c r="F741" s="154"/>
      <c r="G741" s="154"/>
      <c r="H741" s="154"/>
      <c r="I741" s="199"/>
      <c r="J741" s="129"/>
    </row>
    <row r="742" spans="1:10" ht="12.75">
      <c r="A742" s="178">
        <f t="shared" si="40"/>
        <v>662</v>
      </c>
      <c r="B742" s="4"/>
      <c r="C742" s="80" t="s">
        <v>397</v>
      </c>
      <c r="D742" s="25"/>
      <c r="E742" s="46"/>
      <c r="F742" s="154">
        <v>0</v>
      </c>
      <c r="G742" s="154">
        <v>1270</v>
      </c>
      <c r="H742" s="154">
        <v>1270</v>
      </c>
      <c r="I742" s="199">
        <f t="shared" si="42"/>
        <v>1</v>
      </c>
      <c r="J742" s="129">
        <f t="shared" si="41"/>
        <v>3.996872763665109E-05</v>
      </c>
    </row>
    <row r="743" spans="1:10" ht="12.75">
      <c r="A743" s="178">
        <f t="shared" si="40"/>
        <v>663</v>
      </c>
      <c r="B743" s="4">
        <v>4740</v>
      </c>
      <c r="C743" s="80" t="s">
        <v>354</v>
      </c>
      <c r="D743" s="25"/>
      <c r="E743" s="46"/>
      <c r="F743" s="154"/>
      <c r="G743" s="154"/>
      <c r="H743" s="154"/>
      <c r="I743" s="199"/>
      <c r="J743" s="129"/>
    </row>
    <row r="744" spans="1:10" ht="12.75">
      <c r="A744" s="178">
        <f t="shared" si="40"/>
        <v>664</v>
      </c>
      <c r="B744" s="4"/>
      <c r="C744" s="80" t="s">
        <v>355</v>
      </c>
      <c r="D744" s="25"/>
      <c r="E744" s="46"/>
      <c r="F744" s="154">
        <v>790</v>
      </c>
      <c r="G744" s="154">
        <v>790</v>
      </c>
      <c r="H744" s="154">
        <v>744.24</v>
      </c>
      <c r="I744" s="199">
        <f t="shared" si="42"/>
        <v>0.9420759493670886</v>
      </c>
      <c r="J744" s="129">
        <f t="shared" si="41"/>
        <v>2.3422303823859216E-05</v>
      </c>
    </row>
    <row r="745" spans="1:10" ht="12.75">
      <c r="A745" s="178">
        <f t="shared" si="40"/>
        <v>665</v>
      </c>
      <c r="B745" s="4">
        <v>4750</v>
      </c>
      <c r="C745" s="80" t="s">
        <v>356</v>
      </c>
      <c r="D745" s="25"/>
      <c r="E745" s="46"/>
      <c r="F745" s="154"/>
      <c r="G745" s="154"/>
      <c r="H745" s="154"/>
      <c r="I745" s="199"/>
      <c r="J745" s="129"/>
    </row>
    <row r="746" spans="1:10" ht="12.75">
      <c r="A746" s="178">
        <f t="shared" si="40"/>
        <v>666</v>
      </c>
      <c r="B746" s="4"/>
      <c r="C746" s="80" t="s">
        <v>357</v>
      </c>
      <c r="D746" s="25"/>
      <c r="E746" s="46"/>
      <c r="F746" s="154">
        <v>1500</v>
      </c>
      <c r="G746" s="154">
        <v>1250</v>
      </c>
      <c r="H746" s="154">
        <v>1248.99</v>
      </c>
      <c r="I746" s="199">
        <f t="shared" si="42"/>
        <v>0.999192</v>
      </c>
      <c r="J746" s="129">
        <f t="shared" si="41"/>
        <v>3.9307512701496724E-05</v>
      </c>
    </row>
    <row r="747" spans="1:10" ht="12.75">
      <c r="A747" s="178"/>
      <c r="B747" s="4">
        <v>6050</v>
      </c>
      <c r="C747" s="80" t="s">
        <v>212</v>
      </c>
      <c r="D747" s="25"/>
      <c r="E747" s="46"/>
      <c r="F747" s="154">
        <v>0</v>
      </c>
      <c r="G747" s="154">
        <v>99440</v>
      </c>
      <c r="H747" s="154">
        <v>99439.94</v>
      </c>
      <c r="I747" s="199">
        <f>H747/G747</f>
        <v>0.9999993966210781</v>
      </c>
      <c r="J747" s="129">
        <f>H747/H$54</f>
        <v>0.0031295180142243513</v>
      </c>
    </row>
    <row r="748" spans="1:10" ht="12.75">
      <c r="A748" s="178">
        <f>A746+1</f>
        <v>667</v>
      </c>
      <c r="B748" s="4">
        <v>6060</v>
      </c>
      <c r="C748" s="80" t="s">
        <v>235</v>
      </c>
      <c r="D748" s="25"/>
      <c r="E748" s="46"/>
      <c r="F748" s="154">
        <v>13500</v>
      </c>
      <c r="G748" s="154">
        <v>15100</v>
      </c>
      <c r="H748" s="154">
        <v>15081.8</v>
      </c>
      <c r="I748" s="199">
        <f t="shared" si="42"/>
        <v>0.9987947019867549</v>
      </c>
      <c r="J748" s="129">
        <f t="shared" si="41"/>
        <v>0.00047464594997672786</v>
      </c>
    </row>
    <row r="749" spans="1:10" s="29" customFormat="1" ht="12.75">
      <c r="A749" s="178">
        <f aca="true" t="shared" si="43" ref="A749:A766">A748+1</f>
        <v>668</v>
      </c>
      <c r="B749" s="11">
        <v>80110</v>
      </c>
      <c r="C749" s="69" t="s">
        <v>195</v>
      </c>
      <c r="D749" s="26"/>
      <c r="E749" s="45">
        <f>SUM(E750:E778)</f>
        <v>1253500</v>
      </c>
      <c r="F749" s="26">
        <f>SUM(F750:F780)</f>
        <v>1982795</v>
      </c>
      <c r="G749" s="26">
        <f>SUM(G750:G780)</f>
        <v>2082169</v>
      </c>
      <c r="H749" s="26">
        <f>SUM(H750:H780)</f>
        <v>2058452.17</v>
      </c>
      <c r="I749" s="199">
        <f t="shared" si="42"/>
        <v>0.9886095557084943</v>
      </c>
      <c r="J749" s="129">
        <f t="shared" si="41"/>
        <v>0.06478245207543575</v>
      </c>
    </row>
    <row r="750" spans="1:10" ht="12.75">
      <c r="A750" s="178">
        <f t="shared" si="43"/>
        <v>669</v>
      </c>
      <c r="B750" s="4">
        <v>3020</v>
      </c>
      <c r="C750" s="80" t="s">
        <v>266</v>
      </c>
      <c r="D750" s="25"/>
      <c r="E750" s="47">
        <v>5600</v>
      </c>
      <c r="F750" s="154">
        <v>6200</v>
      </c>
      <c r="G750" s="154">
        <v>6200</v>
      </c>
      <c r="H750" s="154">
        <v>6187.46</v>
      </c>
      <c r="I750" s="199">
        <f t="shared" si="42"/>
        <v>0.9979774193548387</v>
      </c>
      <c r="J750" s="129">
        <f t="shared" si="41"/>
        <v>0.00019472827047454578</v>
      </c>
    </row>
    <row r="751" spans="1:10" ht="12.75">
      <c r="A751" s="178">
        <f t="shared" si="43"/>
        <v>670</v>
      </c>
      <c r="B751" s="4">
        <v>3240</v>
      </c>
      <c r="C751" s="80" t="s">
        <v>299</v>
      </c>
      <c r="D751" s="25"/>
      <c r="E751" s="47"/>
      <c r="F751" s="154">
        <v>0</v>
      </c>
      <c r="G751" s="154">
        <v>10752</v>
      </c>
      <c r="H751" s="154">
        <v>10752</v>
      </c>
      <c r="I751" s="199">
        <f t="shared" si="42"/>
        <v>1</v>
      </c>
      <c r="J751" s="129">
        <f t="shared" si="41"/>
        <v>0.0003383809130309232</v>
      </c>
    </row>
    <row r="752" spans="1:10" ht="12.75">
      <c r="A752" s="178">
        <f t="shared" si="43"/>
        <v>671</v>
      </c>
      <c r="B752" s="4">
        <v>4010</v>
      </c>
      <c r="C752" s="80" t="s">
        <v>27</v>
      </c>
      <c r="D752" s="25"/>
      <c r="E752" s="47">
        <f>518900+4200+1000+5300+180400+5400+400+1000+4600</f>
        <v>721200</v>
      </c>
      <c r="F752" s="154">
        <v>1158850</v>
      </c>
      <c r="G752" s="154">
        <v>1215367</v>
      </c>
      <c r="H752" s="154">
        <v>1209977.38</v>
      </c>
      <c r="I752" s="199">
        <f t="shared" si="42"/>
        <v>0.995565438258567</v>
      </c>
      <c r="J752" s="129">
        <f t="shared" si="41"/>
        <v>0.03807972940766037</v>
      </c>
    </row>
    <row r="753" spans="1:10" ht="12.75">
      <c r="A753" s="178">
        <f t="shared" si="43"/>
        <v>672</v>
      </c>
      <c r="B753" s="4">
        <v>4040</v>
      </c>
      <c r="C753" s="80" t="s">
        <v>28</v>
      </c>
      <c r="D753" s="25"/>
      <c r="E753" s="47">
        <v>62900</v>
      </c>
      <c r="F753" s="154">
        <v>97400</v>
      </c>
      <c r="G753" s="154">
        <v>83600</v>
      </c>
      <c r="H753" s="154">
        <v>83523.12</v>
      </c>
      <c r="I753" s="199">
        <f t="shared" si="42"/>
        <v>0.9990803827751196</v>
      </c>
      <c r="J753" s="129">
        <f t="shared" si="41"/>
        <v>0.0026285927831837205</v>
      </c>
    </row>
    <row r="754" spans="1:10" ht="12.75">
      <c r="A754" s="178">
        <f t="shared" si="43"/>
        <v>673</v>
      </c>
      <c r="B754" s="4">
        <v>4110</v>
      </c>
      <c r="C754" s="80" t="s">
        <v>32</v>
      </c>
      <c r="D754" s="25"/>
      <c r="E754" s="47">
        <v>141000</v>
      </c>
      <c r="F754" s="154">
        <v>217000</v>
      </c>
      <c r="G754" s="154">
        <v>219260</v>
      </c>
      <c r="H754" s="154">
        <v>219164.08</v>
      </c>
      <c r="I754" s="199">
        <f t="shared" si="42"/>
        <v>0.9995625285049712</v>
      </c>
      <c r="J754" s="129">
        <f t="shared" si="41"/>
        <v>0.006897408993115913</v>
      </c>
    </row>
    <row r="755" spans="1:10" ht="12.75">
      <c r="A755" s="178">
        <f t="shared" si="43"/>
        <v>674</v>
      </c>
      <c r="B755" s="4">
        <v>4120</v>
      </c>
      <c r="C755" s="80" t="s">
        <v>33</v>
      </c>
      <c r="D755" s="25"/>
      <c r="E755" s="47">
        <v>19400</v>
      </c>
      <c r="F755" s="154">
        <v>29600</v>
      </c>
      <c r="G755" s="154">
        <v>30747</v>
      </c>
      <c r="H755" s="154">
        <v>30742.01</v>
      </c>
      <c r="I755" s="199">
        <f t="shared" si="42"/>
        <v>0.9998377077438448</v>
      </c>
      <c r="J755" s="129">
        <f t="shared" si="41"/>
        <v>0.000967495295034019</v>
      </c>
    </row>
    <row r="756" spans="1:10" ht="12.75">
      <c r="A756" s="178">
        <f t="shared" si="43"/>
        <v>675</v>
      </c>
      <c r="B756" s="4">
        <v>4140</v>
      </c>
      <c r="C756" s="80" t="s">
        <v>177</v>
      </c>
      <c r="D756" s="25"/>
      <c r="E756" s="47"/>
      <c r="F756" s="154">
        <v>0</v>
      </c>
      <c r="G756" s="154">
        <v>0</v>
      </c>
      <c r="H756" s="154">
        <v>0</v>
      </c>
      <c r="I756" s="199"/>
      <c r="J756" s="129">
        <f>H756/H$54</f>
        <v>0</v>
      </c>
    </row>
    <row r="757" spans="1:10" ht="12.75">
      <c r="A757" s="178">
        <f t="shared" si="43"/>
        <v>676</v>
      </c>
      <c r="B757" s="4">
        <v>4170</v>
      </c>
      <c r="C757" s="80" t="s">
        <v>280</v>
      </c>
      <c r="D757" s="25"/>
      <c r="E757" s="47"/>
      <c r="F757" s="154">
        <v>0</v>
      </c>
      <c r="G757" s="154">
        <v>3700</v>
      </c>
      <c r="H757" s="154">
        <v>3669.93</v>
      </c>
      <c r="I757" s="199">
        <f>H757/G757</f>
        <v>0.9918729729729729</v>
      </c>
      <c r="J757" s="129">
        <f>H757/H$54</f>
        <v>0.00011549797843746056</v>
      </c>
    </row>
    <row r="758" spans="1:10" ht="12.75">
      <c r="A758" s="178">
        <f t="shared" si="43"/>
        <v>677</v>
      </c>
      <c r="B758" s="4">
        <v>4210</v>
      </c>
      <c r="C758" s="80" t="s">
        <v>162</v>
      </c>
      <c r="D758" s="25"/>
      <c r="E758" s="47">
        <f>74900-6000-12000-3000-7200-11000-1800</f>
        <v>33900</v>
      </c>
      <c r="F758" s="154">
        <v>70000</v>
      </c>
      <c r="G758" s="154">
        <v>58148</v>
      </c>
      <c r="H758" s="154">
        <v>57952.69</v>
      </c>
      <c r="I758" s="199">
        <f t="shared" si="42"/>
        <v>0.9966411570475339</v>
      </c>
      <c r="J758" s="129">
        <f t="shared" si="41"/>
        <v>0.0018238545530876167</v>
      </c>
    </row>
    <row r="759" spans="1:10" ht="12.75">
      <c r="A759" s="178">
        <f t="shared" si="43"/>
        <v>678</v>
      </c>
      <c r="B759" s="4">
        <v>4220</v>
      </c>
      <c r="C759" s="80" t="s">
        <v>159</v>
      </c>
      <c r="D759" s="25"/>
      <c r="E759" s="47">
        <v>0</v>
      </c>
      <c r="F759" s="154">
        <v>74000</v>
      </c>
      <c r="G759" s="154">
        <v>74000</v>
      </c>
      <c r="H759" s="154">
        <v>68523.18</v>
      </c>
      <c r="I759" s="199">
        <f t="shared" si="42"/>
        <v>0.9259889189189189</v>
      </c>
      <c r="J759" s="129">
        <f t="shared" si="41"/>
        <v>0.002156523085210407</v>
      </c>
    </row>
    <row r="760" spans="1:10" ht="12.75">
      <c r="A760" s="178">
        <f t="shared" si="43"/>
        <v>679</v>
      </c>
      <c r="B760" s="4">
        <v>4240</v>
      </c>
      <c r="C760" s="80" t="s">
        <v>160</v>
      </c>
      <c r="D760" s="25"/>
      <c r="E760" s="47"/>
      <c r="F760" s="154"/>
      <c r="G760" s="154"/>
      <c r="H760" s="154"/>
      <c r="I760" s="199"/>
      <c r="J760" s="129"/>
    </row>
    <row r="761" spans="1:10" ht="12.75">
      <c r="A761" s="178">
        <f t="shared" si="43"/>
        <v>680</v>
      </c>
      <c r="B761" s="4"/>
      <c r="C761" s="80" t="s">
        <v>161</v>
      </c>
      <c r="D761" s="25"/>
      <c r="E761" s="47">
        <v>13500</v>
      </c>
      <c r="F761" s="154">
        <v>11000</v>
      </c>
      <c r="G761" s="154">
        <v>11000</v>
      </c>
      <c r="H761" s="154">
        <v>10723.97</v>
      </c>
      <c r="I761" s="199">
        <f t="shared" si="42"/>
        <v>0.9749063636363636</v>
      </c>
      <c r="J761" s="129">
        <f t="shared" si="41"/>
        <v>0.0003374987685933993</v>
      </c>
    </row>
    <row r="762" spans="1:10" ht="12.75">
      <c r="A762" s="178">
        <f t="shared" si="43"/>
        <v>681</v>
      </c>
      <c r="B762" s="4">
        <v>4260</v>
      </c>
      <c r="C762" s="80" t="s">
        <v>155</v>
      </c>
      <c r="D762" s="25"/>
      <c r="E762" s="47">
        <v>59000</v>
      </c>
      <c r="F762" s="154">
        <v>73000</v>
      </c>
      <c r="G762" s="154">
        <v>73000</v>
      </c>
      <c r="H762" s="154">
        <v>62081.65</v>
      </c>
      <c r="I762" s="199">
        <f t="shared" si="42"/>
        <v>0.8504335616438357</v>
      </c>
      <c r="J762" s="129">
        <f t="shared" si="41"/>
        <v>0.0019537988662077952</v>
      </c>
    </row>
    <row r="763" spans="1:10" ht="12.75">
      <c r="A763" s="178">
        <f t="shared" si="43"/>
        <v>682</v>
      </c>
      <c r="B763" s="4">
        <v>4270</v>
      </c>
      <c r="C763" s="80" t="s">
        <v>152</v>
      </c>
      <c r="D763" s="25"/>
      <c r="E763" s="47">
        <v>64000</v>
      </c>
      <c r="F763" s="154">
        <v>55000</v>
      </c>
      <c r="G763" s="154">
        <v>67500</v>
      </c>
      <c r="H763" s="154">
        <v>67492.86</v>
      </c>
      <c r="I763" s="199">
        <f t="shared" si="42"/>
        <v>0.9998942222222222</v>
      </c>
      <c r="J763" s="129">
        <f t="shared" si="41"/>
        <v>0.0021240974320934037</v>
      </c>
    </row>
    <row r="764" spans="1:10" ht="12.75">
      <c r="A764" s="178">
        <f t="shared" si="43"/>
        <v>683</v>
      </c>
      <c r="B764" s="4">
        <v>4280</v>
      </c>
      <c r="C764" s="80" t="s">
        <v>326</v>
      </c>
      <c r="D764" s="25"/>
      <c r="E764" s="47"/>
      <c r="F764" s="154">
        <v>2100</v>
      </c>
      <c r="G764" s="154">
        <v>2300</v>
      </c>
      <c r="H764" s="154">
        <v>2274</v>
      </c>
      <c r="I764" s="199">
        <f t="shared" si="42"/>
        <v>0.9886956521739131</v>
      </c>
      <c r="J764" s="129">
        <f t="shared" si="41"/>
        <v>7.156605247696423E-05</v>
      </c>
    </row>
    <row r="765" spans="1:10" ht="12.75">
      <c r="A765" s="178">
        <f t="shared" si="43"/>
        <v>684</v>
      </c>
      <c r="B765" s="4">
        <v>4300</v>
      </c>
      <c r="C765" s="80" t="s">
        <v>151</v>
      </c>
      <c r="D765" s="25"/>
      <c r="E765" s="47">
        <v>74900</v>
      </c>
      <c r="F765" s="154">
        <v>51000</v>
      </c>
      <c r="G765" s="154">
        <v>49000</v>
      </c>
      <c r="H765" s="154">
        <v>48192.93</v>
      </c>
      <c r="I765" s="199">
        <f t="shared" si="42"/>
        <v>0.9835291836734694</v>
      </c>
      <c r="J765" s="129">
        <f t="shared" si="41"/>
        <v>0.001516700860773379</v>
      </c>
    </row>
    <row r="766" spans="1:10" ht="12.75">
      <c r="A766" s="178">
        <f t="shared" si="43"/>
        <v>685</v>
      </c>
      <c r="B766" s="4">
        <v>4350</v>
      </c>
      <c r="C766" s="80" t="s">
        <v>382</v>
      </c>
      <c r="D766" s="25"/>
      <c r="E766" s="47"/>
      <c r="F766" s="154">
        <v>2000</v>
      </c>
      <c r="G766" s="154">
        <v>2300</v>
      </c>
      <c r="H766" s="154">
        <v>2293.36</v>
      </c>
      <c r="I766" s="199">
        <f t="shared" si="42"/>
        <v>0.9971130434782609</v>
      </c>
      <c r="J766" s="129">
        <f t="shared" si="41"/>
        <v>7.217533953763003E-05</v>
      </c>
    </row>
    <row r="767" spans="1:10" ht="12.75">
      <c r="A767" s="178">
        <f>A766+1</f>
        <v>686</v>
      </c>
      <c r="B767" s="4">
        <v>4370</v>
      </c>
      <c r="C767" s="80" t="s">
        <v>368</v>
      </c>
      <c r="D767" s="25"/>
      <c r="E767" s="47"/>
      <c r="F767" s="154"/>
      <c r="G767" s="154"/>
      <c r="H767" s="154"/>
      <c r="I767" s="199"/>
      <c r="J767" s="129"/>
    </row>
    <row r="768" spans="1:10" ht="12.75">
      <c r="A768" s="178">
        <f aca="true" t="shared" si="44" ref="A768:A824">A767+1</f>
        <v>687</v>
      </c>
      <c r="B768" s="4"/>
      <c r="C768" s="80" t="s">
        <v>394</v>
      </c>
      <c r="D768" s="25"/>
      <c r="E768" s="47"/>
      <c r="F768" s="154">
        <v>15600</v>
      </c>
      <c r="G768" s="154">
        <v>13400</v>
      </c>
      <c r="H768" s="154">
        <v>13120.12</v>
      </c>
      <c r="I768" s="199">
        <f t="shared" si="42"/>
        <v>0.979113432835821</v>
      </c>
      <c r="J768" s="129">
        <f t="shared" si="41"/>
        <v>0.0004129090573544714</v>
      </c>
    </row>
    <row r="769" spans="1:10" ht="12.75">
      <c r="A769" s="178">
        <f t="shared" si="44"/>
        <v>688</v>
      </c>
      <c r="B769" s="4">
        <v>4410</v>
      </c>
      <c r="C769" s="80" t="s">
        <v>29</v>
      </c>
      <c r="D769" s="25"/>
      <c r="E769" s="47">
        <v>7000</v>
      </c>
      <c r="F769" s="154">
        <v>8000</v>
      </c>
      <c r="G769" s="154">
        <v>8900</v>
      </c>
      <c r="H769" s="154">
        <v>8868.24</v>
      </c>
      <c r="I769" s="199">
        <f t="shared" si="42"/>
        <v>0.9964314606741573</v>
      </c>
      <c r="J769" s="129">
        <f t="shared" si="41"/>
        <v>0.00027909627494209025</v>
      </c>
    </row>
    <row r="770" spans="1:10" ht="12.75">
      <c r="A770" s="178">
        <f t="shared" si="44"/>
        <v>689</v>
      </c>
      <c r="B770" s="4">
        <v>4430</v>
      </c>
      <c r="C770" s="80" t="s">
        <v>40</v>
      </c>
      <c r="D770" s="25"/>
      <c r="E770" s="47">
        <v>2000</v>
      </c>
      <c r="F770" s="154">
        <v>3800</v>
      </c>
      <c r="G770" s="154">
        <v>3800</v>
      </c>
      <c r="H770" s="154">
        <v>3800</v>
      </c>
      <c r="I770" s="199">
        <f t="shared" si="42"/>
        <v>1</v>
      </c>
      <c r="J770" s="129">
        <f aca="true" t="shared" si="45" ref="J770:J816">H770/H$54</f>
        <v>0.0001195914685191135</v>
      </c>
    </row>
    <row r="771" spans="1:10" ht="12.75">
      <c r="A771" s="178">
        <f t="shared" si="44"/>
        <v>690</v>
      </c>
      <c r="B771" s="4">
        <v>4440</v>
      </c>
      <c r="C771" s="80" t="s">
        <v>46</v>
      </c>
      <c r="D771" s="25"/>
      <c r="E771" s="47">
        <v>43100</v>
      </c>
      <c r="F771" s="154">
        <v>66245</v>
      </c>
      <c r="G771" s="154">
        <v>69595</v>
      </c>
      <c r="H771" s="154">
        <v>69595</v>
      </c>
      <c r="I771" s="199">
        <f aca="true" t="shared" si="46" ref="I771:I835">H771/G771</f>
        <v>1</v>
      </c>
      <c r="J771" s="129">
        <f t="shared" si="45"/>
        <v>0.0021902548030493956</v>
      </c>
    </row>
    <row r="772" spans="1:10" ht="12.75">
      <c r="A772" s="178">
        <f>A771+1</f>
        <v>691</v>
      </c>
      <c r="B772" s="4">
        <v>4700</v>
      </c>
      <c r="C772" s="80" t="s">
        <v>398</v>
      </c>
      <c r="D772" s="25"/>
      <c r="E772" s="47"/>
      <c r="F772" s="154"/>
      <c r="G772" s="154"/>
      <c r="H772" s="154"/>
      <c r="I772" s="199"/>
      <c r="J772" s="129"/>
    </row>
    <row r="773" spans="1:10" ht="12.75">
      <c r="A773" s="178">
        <f t="shared" si="44"/>
        <v>692</v>
      </c>
      <c r="B773" s="4"/>
      <c r="C773" s="80" t="s">
        <v>397</v>
      </c>
      <c r="D773" s="25"/>
      <c r="E773" s="47"/>
      <c r="F773" s="154">
        <v>5000</v>
      </c>
      <c r="G773" s="154">
        <v>5100</v>
      </c>
      <c r="H773" s="154">
        <v>5060</v>
      </c>
      <c r="I773" s="199">
        <f t="shared" si="46"/>
        <v>0.9921568627450981</v>
      </c>
      <c r="J773" s="129">
        <f t="shared" si="45"/>
        <v>0.0001592454817649248</v>
      </c>
    </row>
    <row r="774" spans="1:10" ht="12.75">
      <c r="A774" s="178">
        <f t="shared" si="44"/>
        <v>693</v>
      </c>
      <c r="B774" s="4">
        <v>4740</v>
      </c>
      <c r="C774" s="80" t="s">
        <v>354</v>
      </c>
      <c r="D774" s="25"/>
      <c r="E774" s="47"/>
      <c r="F774" s="154"/>
      <c r="G774" s="154"/>
      <c r="H774" s="154"/>
      <c r="I774" s="199"/>
      <c r="J774" s="129"/>
    </row>
    <row r="775" spans="1:10" ht="12.75">
      <c r="A775" s="178">
        <f t="shared" si="44"/>
        <v>694</v>
      </c>
      <c r="B775" s="4"/>
      <c r="C775" s="80" t="s">
        <v>355</v>
      </c>
      <c r="D775" s="25"/>
      <c r="E775" s="47"/>
      <c r="F775" s="154">
        <v>4500</v>
      </c>
      <c r="G775" s="154">
        <v>4500</v>
      </c>
      <c r="H775" s="154">
        <v>4472.42</v>
      </c>
      <c r="I775" s="199">
        <f t="shared" si="46"/>
        <v>0.9938711111111111</v>
      </c>
      <c r="J775" s="129">
        <f t="shared" si="45"/>
        <v>0.00014075349358796146</v>
      </c>
    </row>
    <row r="776" spans="1:10" ht="12.75">
      <c r="A776" s="178">
        <f t="shared" si="44"/>
        <v>695</v>
      </c>
      <c r="B776" s="4">
        <v>4750</v>
      </c>
      <c r="C776" s="80" t="s">
        <v>356</v>
      </c>
      <c r="D776" s="25"/>
      <c r="E776" s="47"/>
      <c r="F776" s="154"/>
      <c r="G776" s="154"/>
      <c r="H776" s="154"/>
      <c r="I776" s="199"/>
      <c r="J776" s="129"/>
    </row>
    <row r="777" spans="1:10" ht="12.75">
      <c r="A777" s="178">
        <f t="shared" si="44"/>
        <v>696</v>
      </c>
      <c r="B777" s="4"/>
      <c r="C777" s="80" t="s">
        <v>357</v>
      </c>
      <c r="D777" s="25"/>
      <c r="E777" s="47"/>
      <c r="F777" s="154">
        <v>5500</v>
      </c>
      <c r="G777" s="154">
        <v>11935</v>
      </c>
      <c r="H777" s="154">
        <v>11933.45</v>
      </c>
      <c r="I777" s="199">
        <f t="shared" si="46"/>
        <v>0.9998701298701299</v>
      </c>
      <c r="J777" s="129">
        <f t="shared" si="45"/>
        <v>0.00037556284473668817</v>
      </c>
    </row>
    <row r="778" spans="1:10" ht="12.75">
      <c r="A778" s="178">
        <f t="shared" si="44"/>
        <v>697</v>
      </c>
      <c r="B778" s="4">
        <v>6050</v>
      </c>
      <c r="C778" s="108" t="s">
        <v>577</v>
      </c>
      <c r="D778" s="25"/>
      <c r="E778" s="47">
        <v>6000</v>
      </c>
      <c r="F778" s="154"/>
      <c r="G778" s="154"/>
      <c r="H778" s="154"/>
      <c r="I778" s="199"/>
      <c r="J778" s="129"/>
    </row>
    <row r="779" spans="1:10" ht="12.75">
      <c r="A779" s="178">
        <f t="shared" si="44"/>
        <v>698</v>
      </c>
      <c r="B779" s="4"/>
      <c r="C779" s="108" t="s">
        <v>655</v>
      </c>
      <c r="D779" s="25"/>
      <c r="E779" s="47"/>
      <c r="F779" s="154">
        <v>0</v>
      </c>
      <c r="G779" s="154">
        <v>53065</v>
      </c>
      <c r="H779" s="154">
        <v>53063.25</v>
      </c>
      <c r="I779" s="199">
        <f t="shared" si="46"/>
        <v>0.9999670215773109</v>
      </c>
      <c r="J779" s="129">
        <f t="shared" si="45"/>
        <v>0.001669976839972855</v>
      </c>
    </row>
    <row r="780" spans="1:10" ht="12.75">
      <c r="A780" s="178">
        <f t="shared" si="44"/>
        <v>699</v>
      </c>
      <c r="B780" s="4">
        <v>6060</v>
      </c>
      <c r="C780" s="80" t="s">
        <v>578</v>
      </c>
      <c r="D780" s="25"/>
      <c r="E780" s="47"/>
      <c r="F780" s="154">
        <v>27000</v>
      </c>
      <c r="G780" s="154">
        <v>5000</v>
      </c>
      <c r="H780" s="154">
        <v>4989.07</v>
      </c>
      <c r="I780" s="199">
        <f t="shared" si="46"/>
        <v>0.997814</v>
      </c>
      <c r="J780" s="129">
        <f t="shared" si="45"/>
        <v>0.00015701321259069828</v>
      </c>
    </row>
    <row r="781" spans="1:10" s="29" customFormat="1" ht="12.75">
      <c r="A781" s="178">
        <f t="shared" si="44"/>
        <v>700</v>
      </c>
      <c r="B781" s="11">
        <v>80113</v>
      </c>
      <c r="C781" s="69" t="s">
        <v>47</v>
      </c>
      <c r="D781" s="26"/>
      <c r="E781" s="45">
        <f>E784</f>
        <v>81000</v>
      </c>
      <c r="F781" s="26">
        <f>SUM(F783:F784)</f>
        <v>103360</v>
      </c>
      <c r="G781" s="26">
        <f>SUM(G783:G784)</f>
        <v>107920</v>
      </c>
      <c r="H781" s="26">
        <f>SUM(H783:H784)</f>
        <v>100390</v>
      </c>
      <c r="I781" s="199">
        <f t="shared" si="46"/>
        <v>0.9302260934025204</v>
      </c>
      <c r="J781" s="129">
        <f t="shared" si="45"/>
        <v>0.0031594177696404745</v>
      </c>
    </row>
    <row r="782" spans="1:10" s="61" customFormat="1" ht="12.75">
      <c r="A782" s="178">
        <f t="shared" si="44"/>
        <v>701</v>
      </c>
      <c r="B782" s="107">
        <v>2820</v>
      </c>
      <c r="C782" s="80" t="s">
        <v>315</v>
      </c>
      <c r="D782" s="85"/>
      <c r="E782" s="84"/>
      <c r="F782" s="160"/>
      <c r="G782" s="160"/>
      <c r="H782" s="160"/>
      <c r="I782" s="199"/>
      <c r="J782" s="129"/>
    </row>
    <row r="783" spans="1:10" s="61" customFormat="1" ht="12.75">
      <c r="A783" s="178">
        <f t="shared" si="44"/>
        <v>702</v>
      </c>
      <c r="B783" s="107"/>
      <c r="C783" s="108" t="s">
        <v>316</v>
      </c>
      <c r="D783" s="85"/>
      <c r="E783" s="84"/>
      <c r="F783" s="160">
        <v>17000</v>
      </c>
      <c r="G783" s="160">
        <v>21560</v>
      </c>
      <c r="H783" s="160">
        <v>21210</v>
      </c>
      <c r="I783" s="199">
        <f t="shared" si="46"/>
        <v>0.9837662337662337</v>
      </c>
      <c r="J783" s="129">
        <f t="shared" si="45"/>
        <v>0.0006675092229711571</v>
      </c>
    </row>
    <row r="784" spans="1:10" ht="12.75">
      <c r="A784" s="178">
        <f t="shared" si="44"/>
        <v>703</v>
      </c>
      <c r="B784" s="4">
        <v>4300</v>
      </c>
      <c r="C784" s="80" t="s">
        <v>151</v>
      </c>
      <c r="D784" s="25"/>
      <c r="E784" s="47">
        <v>81000</v>
      </c>
      <c r="F784" s="154">
        <v>86360</v>
      </c>
      <c r="G784" s="154">
        <v>86360</v>
      </c>
      <c r="H784" s="154">
        <v>79180</v>
      </c>
      <c r="I784" s="199">
        <f t="shared" si="46"/>
        <v>0.9168596572487263</v>
      </c>
      <c r="J784" s="129">
        <f t="shared" si="45"/>
        <v>0.0024919085466693176</v>
      </c>
    </row>
    <row r="785" spans="1:10" s="74" customFormat="1" ht="12.75">
      <c r="A785" s="178">
        <f t="shared" si="44"/>
        <v>704</v>
      </c>
      <c r="B785" s="63">
        <v>80146</v>
      </c>
      <c r="C785" s="69" t="s">
        <v>205</v>
      </c>
      <c r="D785" s="64"/>
      <c r="E785" s="73"/>
      <c r="F785" s="164">
        <f>F786+F791+F797+F803</f>
        <v>24761</v>
      </c>
      <c r="G785" s="164">
        <f>G786+G791+G797+G803</f>
        <v>25589.03</v>
      </c>
      <c r="H785" s="164">
        <f>H786+H791+H797+H803</f>
        <v>23421.43</v>
      </c>
      <c r="I785" s="199">
        <f t="shared" si="46"/>
        <v>0.9152918262239718</v>
      </c>
      <c r="J785" s="129">
        <f t="shared" si="45"/>
        <v>0.000737106107504637</v>
      </c>
    </row>
    <row r="786" spans="1:10" s="74" customFormat="1" ht="12.75">
      <c r="A786" s="178">
        <f t="shared" si="44"/>
        <v>705</v>
      </c>
      <c r="B786" s="4">
        <v>3250</v>
      </c>
      <c r="C786" s="80" t="s">
        <v>42</v>
      </c>
      <c r="D786" s="64"/>
      <c r="E786" s="73"/>
      <c r="F786" s="160">
        <f>SUM(F788:F790)</f>
        <v>2600</v>
      </c>
      <c r="G786" s="160">
        <f>SUM(G788:G790)</f>
        <v>2600</v>
      </c>
      <c r="H786" s="160">
        <f>SUM(H788:H790)</f>
        <v>2600</v>
      </c>
      <c r="I786" s="199">
        <f t="shared" si="46"/>
        <v>1</v>
      </c>
      <c r="J786" s="129">
        <f t="shared" si="45"/>
        <v>8.18257416183408E-05</v>
      </c>
    </row>
    <row r="787" spans="1:10" s="74" customFormat="1" ht="12.75">
      <c r="A787" s="178">
        <f t="shared" si="44"/>
        <v>706</v>
      </c>
      <c r="B787" s="4"/>
      <c r="C787" s="80" t="s">
        <v>15</v>
      </c>
      <c r="D787" s="64"/>
      <c r="E787" s="73"/>
      <c r="F787" s="160"/>
      <c r="G787" s="160"/>
      <c r="H787" s="160"/>
      <c r="I787" s="199"/>
      <c r="J787" s="129"/>
    </row>
    <row r="788" spans="1:10" s="74" customFormat="1" ht="12.75">
      <c r="A788" s="178">
        <f t="shared" si="44"/>
        <v>707</v>
      </c>
      <c r="B788" s="4"/>
      <c r="C788" s="80" t="s">
        <v>165</v>
      </c>
      <c r="D788" s="64"/>
      <c r="E788" s="73"/>
      <c r="F788" s="160">
        <v>0</v>
      </c>
      <c r="G788" s="160">
        <v>0</v>
      </c>
      <c r="H788" s="160">
        <v>0</v>
      </c>
      <c r="I788" s="199"/>
      <c r="J788" s="129">
        <f t="shared" si="45"/>
        <v>0</v>
      </c>
    </row>
    <row r="789" spans="1:10" s="74" customFormat="1" ht="12.75">
      <c r="A789" s="178">
        <f t="shared" si="44"/>
        <v>708</v>
      </c>
      <c r="B789" s="4"/>
      <c r="C789" s="80" t="s">
        <v>166</v>
      </c>
      <c r="D789" s="64"/>
      <c r="E789" s="73"/>
      <c r="F789" s="160">
        <v>0</v>
      </c>
      <c r="G789" s="160">
        <v>0</v>
      </c>
      <c r="H789" s="160">
        <v>0</v>
      </c>
      <c r="I789" s="199"/>
      <c r="J789" s="129">
        <f t="shared" si="45"/>
        <v>0</v>
      </c>
    </row>
    <row r="790" spans="1:10" s="74" customFormat="1" ht="12.75">
      <c r="A790" s="178">
        <f t="shared" si="44"/>
        <v>709</v>
      </c>
      <c r="B790" s="4"/>
      <c r="C790" s="80" t="s">
        <v>48</v>
      </c>
      <c r="D790" s="64"/>
      <c r="E790" s="73"/>
      <c r="F790" s="160">
        <v>2600</v>
      </c>
      <c r="G790" s="160">
        <v>2600</v>
      </c>
      <c r="H790" s="160">
        <v>2600</v>
      </c>
      <c r="I790" s="199">
        <f t="shared" si="46"/>
        <v>1</v>
      </c>
      <c r="J790" s="129">
        <f t="shared" si="45"/>
        <v>8.18257416183408E-05</v>
      </c>
    </row>
    <row r="791" spans="1:10" ht="12.75">
      <c r="A791" s="178">
        <f t="shared" si="44"/>
        <v>710</v>
      </c>
      <c r="B791" s="4">
        <v>4300</v>
      </c>
      <c r="C791" s="80" t="s">
        <v>151</v>
      </c>
      <c r="D791" s="25"/>
      <c r="E791" s="47"/>
      <c r="F791" s="154">
        <f>SUM(F793:F796)</f>
        <v>14961</v>
      </c>
      <c r="G791" s="154">
        <f>SUM(G793:G796)</f>
        <v>7611</v>
      </c>
      <c r="H791" s="154">
        <f>SUM(H793:H796)</f>
        <v>6522.5</v>
      </c>
      <c r="I791" s="199">
        <f t="shared" si="46"/>
        <v>0.8569833136250165</v>
      </c>
      <c r="J791" s="129">
        <f t="shared" si="45"/>
        <v>0.00020527246142524152</v>
      </c>
    </row>
    <row r="792" spans="1:10" ht="12.75">
      <c r="A792" s="178">
        <f t="shared" si="44"/>
        <v>711</v>
      </c>
      <c r="B792" s="4"/>
      <c r="C792" s="80" t="s">
        <v>15</v>
      </c>
      <c r="D792" s="25"/>
      <c r="E792" s="47"/>
      <c r="F792" s="154"/>
      <c r="G792" s="154"/>
      <c r="H792" s="154"/>
      <c r="I792" s="199"/>
      <c r="J792" s="129"/>
    </row>
    <row r="793" spans="1:10" ht="12.75">
      <c r="A793" s="178">
        <f t="shared" si="44"/>
        <v>712</v>
      </c>
      <c r="B793" s="4"/>
      <c r="C793" s="80" t="s">
        <v>165</v>
      </c>
      <c r="D793" s="25"/>
      <c r="E793" s="47"/>
      <c r="F793" s="154">
        <v>6000</v>
      </c>
      <c r="G793" s="154">
        <v>2000</v>
      </c>
      <c r="H793" s="154">
        <v>1125</v>
      </c>
      <c r="I793" s="199">
        <f t="shared" si="46"/>
        <v>0.5625</v>
      </c>
      <c r="J793" s="129">
        <f t="shared" si="45"/>
        <v>3.540536896947439E-05</v>
      </c>
    </row>
    <row r="794" spans="1:10" ht="12.75">
      <c r="A794" s="178">
        <f t="shared" si="44"/>
        <v>713</v>
      </c>
      <c r="B794" s="4"/>
      <c r="C794" s="80" t="s">
        <v>166</v>
      </c>
      <c r="D794" s="25"/>
      <c r="E794" s="47"/>
      <c r="F794" s="154">
        <v>2100</v>
      </c>
      <c r="G794" s="154">
        <v>2350</v>
      </c>
      <c r="H794" s="154">
        <v>2140</v>
      </c>
      <c r="I794" s="199">
        <f t="shared" si="46"/>
        <v>0.9106382978723404</v>
      </c>
      <c r="J794" s="129">
        <f t="shared" si="45"/>
        <v>6.734887963971128E-05</v>
      </c>
    </row>
    <row r="795" spans="1:10" ht="12.75">
      <c r="A795" s="178">
        <f t="shared" si="44"/>
        <v>714</v>
      </c>
      <c r="B795" s="4"/>
      <c r="C795" s="80" t="s">
        <v>206</v>
      </c>
      <c r="D795" s="25"/>
      <c r="E795" s="47"/>
      <c r="F795" s="154">
        <v>3261</v>
      </c>
      <c r="G795" s="154">
        <v>3261</v>
      </c>
      <c r="H795" s="154">
        <v>3257.5</v>
      </c>
      <c r="I795" s="199">
        <f t="shared" si="46"/>
        <v>0.9989267095982828</v>
      </c>
      <c r="J795" s="129">
        <f t="shared" si="45"/>
        <v>0.00010251821281605584</v>
      </c>
    </row>
    <row r="796" spans="1:10" ht="12.75">
      <c r="A796" s="178">
        <f t="shared" si="44"/>
        <v>715</v>
      </c>
      <c r="B796" s="4"/>
      <c r="C796" s="80" t="s">
        <v>48</v>
      </c>
      <c r="D796" s="25"/>
      <c r="E796" s="47"/>
      <c r="F796" s="154">
        <v>3600</v>
      </c>
      <c r="G796" s="154">
        <v>0</v>
      </c>
      <c r="H796" s="154">
        <v>0</v>
      </c>
      <c r="I796" s="199"/>
      <c r="J796" s="129">
        <f t="shared" si="45"/>
        <v>0</v>
      </c>
    </row>
    <row r="797" spans="1:10" ht="12.75">
      <c r="A797" s="178">
        <f t="shared" si="44"/>
        <v>716</v>
      </c>
      <c r="B797" s="4">
        <v>4410</v>
      </c>
      <c r="C797" s="80" t="s">
        <v>29</v>
      </c>
      <c r="D797" s="25"/>
      <c r="E797" s="47"/>
      <c r="F797" s="154">
        <f>SUM(F799:F801)</f>
        <v>7200</v>
      </c>
      <c r="G797" s="154">
        <f>SUM(G799:G801)</f>
        <v>7478.030000000001</v>
      </c>
      <c r="H797" s="154">
        <f>SUM(H799:H801)</f>
        <v>6643.93</v>
      </c>
      <c r="I797" s="199">
        <f t="shared" si="46"/>
        <v>0.8884599286175637</v>
      </c>
      <c r="J797" s="129">
        <f t="shared" si="45"/>
        <v>0.00020909403827320888</v>
      </c>
    </row>
    <row r="798" spans="1:10" ht="12.75">
      <c r="A798" s="178">
        <f t="shared" si="44"/>
        <v>717</v>
      </c>
      <c r="B798" s="4"/>
      <c r="C798" s="80" t="s">
        <v>15</v>
      </c>
      <c r="D798" s="25"/>
      <c r="E798" s="47"/>
      <c r="F798" s="154"/>
      <c r="G798" s="154"/>
      <c r="H798" s="154"/>
      <c r="I798" s="199"/>
      <c r="J798" s="129"/>
    </row>
    <row r="799" spans="1:10" ht="12.75">
      <c r="A799" s="178">
        <f t="shared" si="44"/>
        <v>718</v>
      </c>
      <c r="B799" s="4"/>
      <c r="C799" s="80" t="s">
        <v>165</v>
      </c>
      <c r="D799" s="25"/>
      <c r="E799" s="47"/>
      <c r="F799" s="154">
        <v>4000</v>
      </c>
      <c r="G799" s="154">
        <v>3578.03</v>
      </c>
      <c r="H799" s="154">
        <v>2747.4</v>
      </c>
      <c r="I799" s="199">
        <f t="shared" si="46"/>
        <v>0.767852701067347</v>
      </c>
      <c r="J799" s="129">
        <f t="shared" si="45"/>
        <v>8.646463173931906E-05</v>
      </c>
    </row>
    <row r="800" spans="1:10" ht="12.75">
      <c r="A800" s="178">
        <f t="shared" si="44"/>
        <v>719</v>
      </c>
      <c r="B800" s="4"/>
      <c r="C800" s="80" t="s">
        <v>166</v>
      </c>
      <c r="D800" s="25"/>
      <c r="E800" s="47"/>
      <c r="F800" s="154">
        <v>700</v>
      </c>
      <c r="G800" s="154">
        <v>700</v>
      </c>
      <c r="H800" s="154">
        <v>696.77</v>
      </c>
      <c r="I800" s="199">
        <f t="shared" si="46"/>
        <v>0.9953857142857142</v>
      </c>
      <c r="J800" s="129">
        <f t="shared" si="45"/>
        <v>2.1928354610542818E-05</v>
      </c>
    </row>
    <row r="801" spans="1:10" ht="12.75">
      <c r="A801" s="178">
        <f t="shared" si="44"/>
        <v>720</v>
      </c>
      <c r="B801" s="4"/>
      <c r="C801" s="80" t="s">
        <v>48</v>
      </c>
      <c r="D801" s="25"/>
      <c r="E801" s="47"/>
      <c r="F801" s="154">
        <v>2500</v>
      </c>
      <c r="G801" s="154">
        <v>3200</v>
      </c>
      <c r="H801" s="154">
        <v>3199.76</v>
      </c>
      <c r="I801" s="199">
        <f t="shared" si="46"/>
        <v>0.9999250000000001</v>
      </c>
      <c r="J801" s="129">
        <f t="shared" si="45"/>
        <v>0.00010070105192334701</v>
      </c>
    </row>
    <row r="802" spans="1:10" ht="12.75">
      <c r="A802" s="178">
        <f t="shared" si="44"/>
        <v>721</v>
      </c>
      <c r="B802" s="4">
        <v>4700</v>
      </c>
      <c r="C802" s="80" t="s">
        <v>398</v>
      </c>
      <c r="D802" s="25"/>
      <c r="E802" s="47"/>
      <c r="F802" s="154"/>
      <c r="G802" s="154"/>
      <c r="H802" s="154"/>
      <c r="I802" s="199"/>
      <c r="J802" s="129"/>
    </row>
    <row r="803" spans="1:10" ht="12.75">
      <c r="A803" s="178">
        <f t="shared" si="44"/>
        <v>722</v>
      </c>
      <c r="B803" s="4"/>
      <c r="C803" s="80" t="s">
        <v>397</v>
      </c>
      <c r="D803" s="25"/>
      <c r="E803" s="47"/>
      <c r="F803" s="154">
        <f>SUM(F805:F806)</f>
        <v>0</v>
      </c>
      <c r="G803" s="154">
        <f>SUM(G805:G806)</f>
        <v>7900</v>
      </c>
      <c r="H803" s="154">
        <f>SUM(H805:H806)</f>
        <v>7655</v>
      </c>
      <c r="I803" s="199">
        <f t="shared" si="46"/>
        <v>0.9689873417721518</v>
      </c>
      <c r="J803" s="129">
        <f t="shared" si="45"/>
        <v>0.00024091386618784572</v>
      </c>
    </row>
    <row r="804" spans="1:10" ht="12.75">
      <c r="A804" s="178">
        <f t="shared" si="44"/>
        <v>723</v>
      </c>
      <c r="B804" s="4"/>
      <c r="C804" s="80" t="s">
        <v>15</v>
      </c>
      <c r="D804" s="25"/>
      <c r="E804" s="47"/>
      <c r="F804" s="154"/>
      <c r="G804" s="154"/>
      <c r="H804" s="154"/>
      <c r="I804" s="199"/>
      <c r="J804" s="129"/>
    </row>
    <row r="805" spans="1:10" ht="12.75">
      <c r="A805" s="178">
        <f t="shared" si="44"/>
        <v>724</v>
      </c>
      <c r="B805" s="4"/>
      <c r="C805" s="80" t="s">
        <v>165</v>
      </c>
      <c r="D805" s="25"/>
      <c r="E805" s="47"/>
      <c r="F805" s="154">
        <v>0</v>
      </c>
      <c r="G805" s="154">
        <v>4000</v>
      </c>
      <c r="H805" s="154">
        <v>3755</v>
      </c>
      <c r="I805" s="199">
        <f t="shared" si="46"/>
        <v>0.93875</v>
      </c>
      <c r="J805" s="129">
        <f t="shared" si="45"/>
        <v>0.00011817525376033452</v>
      </c>
    </row>
    <row r="806" spans="1:10" ht="12.75">
      <c r="A806" s="178">
        <f t="shared" si="44"/>
        <v>725</v>
      </c>
      <c r="B806" s="4"/>
      <c r="C806" s="80" t="s">
        <v>48</v>
      </c>
      <c r="D806" s="25"/>
      <c r="E806" s="47"/>
      <c r="F806" s="154">
        <v>0</v>
      </c>
      <c r="G806" s="154">
        <v>3900</v>
      </c>
      <c r="H806" s="154">
        <v>3900</v>
      </c>
      <c r="I806" s="199">
        <f t="shared" si="46"/>
        <v>1</v>
      </c>
      <c r="J806" s="129">
        <f t="shared" si="45"/>
        <v>0.0001227386124275112</v>
      </c>
    </row>
    <row r="807" spans="1:10" s="74" customFormat="1" ht="12.75">
      <c r="A807" s="178">
        <f t="shared" si="44"/>
        <v>726</v>
      </c>
      <c r="B807" s="63">
        <v>80195</v>
      </c>
      <c r="C807" s="69" t="s">
        <v>25</v>
      </c>
      <c r="D807" s="64"/>
      <c r="E807" s="65" t="e">
        <f>E816++#REF!+E822+E831</f>
        <v>#REF!</v>
      </c>
      <c r="F807" s="64">
        <f>F808+F812+F816+F818+F821+F823+F830+F831</f>
        <v>885260</v>
      </c>
      <c r="G807" s="64">
        <f>G808+G812+G816+G818+G821+G823+G830+G831</f>
        <v>1358320.75</v>
      </c>
      <c r="H807" s="64">
        <f>H808+H812+H816+H818+H821+H823+H830+H831</f>
        <v>842540.6000000001</v>
      </c>
      <c r="I807" s="199">
        <f t="shared" si="46"/>
        <v>0.620281034505289</v>
      </c>
      <c r="J807" s="129">
        <f t="shared" si="45"/>
        <v>0.026515965168677633</v>
      </c>
    </row>
    <row r="808" spans="1:10" s="61" customFormat="1" ht="12.75">
      <c r="A808" s="178">
        <f t="shared" si="44"/>
        <v>727</v>
      </c>
      <c r="B808" s="86">
        <v>4010</v>
      </c>
      <c r="C808" s="80" t="s">
        <v>200</v>
      </c>
      <c r="D808" s="85"/>
      <c r="E808" s="84"/>
      <c r="F808" s="160">
        <f>SUM(F810:F811)</f>
        <v>10600</v>
      </c>
      <c r="G808" s="160">
        <f>SUM(G810:G811)</f>
        <v>0</v>
      </c>
      <c r="H808" s="160">
        <f>SUM(H810:H811)</f>
        <v>0</v>
      </c>
      <c r="I808" s="199"/>
      <c r="J808" s="129">
        <f t="shared" si="45"/>
        <v>0</v>
      </c>
    </row>
    <row r="809" spans="1:10" s="61" customFormat="1" ht="12.75">
      <c r="A809" s="178">
        <f t="shared" si="44"/>
        <v>728</v>
      </c>
      <c r="B809" s="86"/>
      <c r="C809" s="80" t="s">
        <v>15</v>
      </c>
      <c r="D809" s="85"/>
      <c r="E809" s="84"/>
      <c r="F809" s="160"/>
      <c r="G809" s="160"/>
      <c r="H809" s="160"/>
      <c r="I809" s="199"/>
      <c r="J809" s="129"/>
    </row>
    <row r="810" spans="1:10" s="61" customFormat="1" ht="12.75">
      <c r="A810" s="178">
        <f t="shared" si="44"/>
        <v>729</v>
      </c>
      <c r="B810" s="86"/>
      <c r="C810" s="80" t="s">
        <v>389</v>
      </c>
      <c r="D810" s="85"/>
      <c r="E810" s="84"/>
      <c r="F810" s="160">
        <f>4600+1000</f>
        <v>5600</v>
      </c>
      <c r="G810" s="160">
        <v>0</v>
      </c>
      <c r="H810" s="160">
        <v>0</v>
      </c>
      <c r="I810" s="199"/>
      <c r="J810" s="129">
        <f t="shared" si="45"/>
        <v>0</v>
      </c>
    </row>
    <row r="811" spans="1:10" s="61" customFormat="1" ht="12.75">
      <c r="A811" s="178">
        <f t="shared" si="44"/>
        <v>730</v>
      </c>
      <c r="B811" s="86"/>
      <c r="C811" s="80" t="s">
        <v>390</v>
      </c>
      <c r="D811" s="85"/>
      <c r="E811" s="84"/>
      <c r="F811" s="160">
        <v>5000</v>
      </c>
      <c r="G811" s="160">
        <v>0</v>
      </c>
      <c r="H811" s="160">
        <v>0</v>
      </c>
      <c r="I811" s="199"/>
      <c r="J811" s="129">
        <f t="shared" si="45"/>
        <v>0</v>
      </c>
    </row>
    <row r="812" spans="1:10" s="61" customFormat="1" ht="12.75">
      <c r="A812" s="178">
        <f t="shared" si="44"/>
        <v>731</v>
      </c>
      <c r="B812" s="86">
        <v>4170</v>
      </c>
      <c r="C812" s="80" t="s">
        <v>258</v>
      </c>
      <c r="D812" s="85"/>
      <c r="E812" s="84"/>
      <c r="F812" s="160">
        <f>SUM(F814:F815)</f>
        <v>1200</v>
      </c>
      <c r="G812" s="160">
        <f>SUM(G814:G815)</f>
        <v>16320</v>
      </c>
      <c r="H812" s="160">
        <f>SUM(H814:H815)</f>
        <v>16000</v>
      </c>
      <c r="I812" s="199">
        <f t="shared" si="46"/>
        <v>0.9803921568627451</v>
      </c>
      <c r="J812" s="129">
        <f t="shared" si="45"/>
        <v>0.0005035430253436358</v>
      </c>
    </row>
    <row r="813" spans="1:10" s="61" customFormat="1" ht="12.75">
      <c r="A813" s="178">
        <f t="shared" si="44"/>
        <v>732</v>
      </c>
      <c r="B813" s="86"/>
      <c r="C813" s="80" t="s">
        <v>15</v>
      </c>
      <c r="D813" s="85"/>
      <c r="E813" s="84"/>
      <c r="F813" s="160"/>
      <c r="G813" s="160"/>
      <c r="H813" s="160"/>
      <c r="I813" s="199"/>
      <c r="J813" s="129"/>
    </row>
    <row r="814" spans="1:10" s="61" customFormat="1" ht="12.75">
      <c r="A814" s="178">
        <f t="shared" si="44"/>
        <v>733</v>
      </c>
      <c r="B814" s="86"/>
      <c r="C814" s="80" t="s">
        <v>579</v>
      </c>
      <c r="D814" s="85"/>
      <c r="E814" s="84"/>
      <c r="F814" s="160">
        <v>1200</v>
      </c>
      <c r="G814" s="160">
        <v>1320</v>
      </c>
      <c r="H814" s="160">
        <v>1000</v>
      </c>
      <c r="I814" s="199">
        <f t="shared" si="46"/>
        <v>0.7575757575757576</v>
      </c>
      <c r="J814" s="129">
        <f t="shared" si="45"/>
        <v>3.147143908397724E-05</v>
      </c>
    </row>
    <row r="815" spans="1:10" s="61" customFormat="1" ht="12.75">
      <c r="A815" s="178">
        <f t="shared" si="44"/>
        <v>734</v>
      </c>
      <c r="B815" s="86"/>
      <c r="C815" s="108" t="s">
        <v>580</v>
      </c>
      <c r="D815" s="85"/>
      <c r="E815" s="84"/>
      <c r="F815" s="160">
        <v>0</v>
      </c>
      <c r="G815" s="160">
        <v>15000</v>
      </c>
      <c r="H815" s="160">
        <v>15000</v>
      </c>
      <c r="I815" s="199">
        <f t="shared" si="46"/>
        <v>1</v>
      </c>
      <c r="J815" s="129">
        <f t="shared" si="45"/>
        <v>0.0004720715862596585</v>
      </c>
    </row>
    <row r="816" spans="1:10" ht="12.75">
      <c r="A816" s="178">
        <f t="shared" si="44"/>
        <v>735</v>
      </c>
      <c r="B816" s="4">
        <v>4210</v>
      </c>
      <c r="C816" s="80" t="s">
        <v>162</v>
      </c>
      <c r="D816" s="25"/>
      <c r="E816" s="47">
        <v>2600</v>
      </c>
      <c r="F816" s="154">
        <v>1000</v>
      </c>
      <c r="G816" s="154">
        <v>1000</v>
      </c>
      <c r="H816" s="154">
        <v>853.05</v>
      </c>
      <c r="I816" s="199">
        <f t="shared" si="46"/>
        <v>0.85305</v>
      </c>
      <c r="J816" s="129">
        <f t="shared" si="45"/>
        <v>2.684671111058678E-05</v>
      </c>
    </row>
    <row r="817" spans="1:10" ht="12.75">
      <c r="A817" s="178">
        <f t="shared" si="44"/>
        <v>736</v>
      </c>
      <c r="B817" s="4">
        <v>4240</v>
      </c>
      <c r="C817" s="80" t="s">
        <v>656</v>
      </c>
      <c r="D817" s="25"/>
      <c r="E817" s="47"/>
      <c r="F817" s="154"/>
      <c r="G817" s="154"/>
      <c r="H817" s="154"/>
      <c r="I817" s="199"/>
      <c r="J817" s="129"/>
    </row>
    <row r="818" spans="1:10" ht="12.75">
      <c r="A818" s="178">
        <f t="shared" si="44"/>
        <v>737</v>
      </c>
      <c r="B818" s="4"/>
      <c r="C818" s="80" t="s">
        <v>657</v>
      </c>
      <c r="D818" s="25"/>
      <c r="E818" s="47"/>
      <c r="F818" s="154">
        <v>0</v>
      </c>
      <c r="G818" s="154">
        <v>920</v>
      </c>
      <c r="H818" s="154">
        <v>916.29</v>
      </c>
      <c r="I818" s="199">
        <f>H818/G818</f>
        <v>0.9959673913043477</v>
      </c>
      <c r="J818" s="129">
        <f>H818/H$54</f>
        <v>2.8836964918257498E-05</v>
      </c>
    </row>
    <row r="819" spans="1:10" ht="12.75">
      <c r="A819" s="178">
        <f t="shared" si="44"/>
        <v>738</v>
      </c>
      <c r="B819" s="4">
        <v>4300</v>
      </c>
      <c r="C819" s="80" t="s">
        <v>581</v>
      </c>
      <c r="D819" s="25"/>
      <c r="E819" s="47"/>
      <c r="F819" s="154"/>
      <c r="G819" s="154"/>
      <c r="H819" s="154"/>
      <c r="I819" s="199"/>
      <c r="J819" s="129"/>
    </row>
    <row r="820" spans="1:10" ht="12.75">
      <c r="A820" s="178">
        <f t="shared" si="44"/>
        <v>739</v>
      </c>
      <c r="B820" s="4"/>
      <c r="C820" s="80" t="s">
        <v>582</v>
      </c>
      <c r="D820" s="25"/>
      <c r="E820" s="47"/>
      <c r="F820" s="154"/>
      <c r="G820" s="154"/>
      <c r="H820" s="154"/>
      <c r="I820" s="199"/>
      <c r="J820" s="129"/>
    </row>
    <row r="821" spans="1:10" ht="12.75">
      <c r="A821" s="178">
        <f t="shared" si="44"/>
        <v>740</v>
      </c>
      <c r="B821" s="4"/>
      <c r="C821" s="80" t="s">
        <v>583</v>
      </c>
      <c r="D821" s="25"/>
      <c r="E821" s="47"/>
      <c r="F821" s="154">
        <v>0</v>
      </c>
      <c r="G821" s="154">
        <v>102142</v>
      </c>
      <c r="H821" s="154">
        <v>51695.2</v>
      </c>
      <c r="I821" s="199">
        <f t="shared" si="46"/>
        <v>0.5061111002330089</v>
      </c>
      <c r="J821" s="129">
        <f aca="true" t="shared" si="47" ref="J821:J875">H821/H$54</f>
        <v>0.0016269223377340198</v>
      </c>
    </row>
    <row r="822" spans="1:10" ht="12.75">
      <c r="A822" s="178">
        <f t="shared" si="44"/>
        <v>741</v>
      </c>
      <c r="B822" s="4">
        <v>4440</v>
      </c>
      <c r="C822" s="80" t="s">
        <v>46</v>
      </c>
      <c r="D822" s="25"/>
      <c r="E822" s="47">
        <v>0</v>
      </c>
      <c r="F822" s="154"/>
      <c r="G822" s="154"/>
      <c r="H822" s="154"/>
      <c r="I822" s="199"/>
      <c r="J822" s="129"/>
    </row>
    <row r="823" spans="1:10" ht="12.75">
      <c r="A823" s="178">
        <f t="shared" si="44"/>
        <v>742</v>
      </c>
      <c r="B823" s="4"/>
      <c r="C823" s="80" t="s">
        <v>281</v>
      </c>
      <c r="D823" s="25"/>
      <c r="E823" s="47"/>
      <c r="F823" s="154">
        <f>SUM(F825:F828)</f>
        <v>39460</v>
      </c>
      <c r="G823" s="154">
        <f>SUM(G825:G828)</f>
        <v>39460</v>
      </c>
      <c r="H823" s="154">
        <f>SUM(H825:H828)</f>
        <v>39460</v>
      </c>
      <c r="I823" s="199">
        <f t="shared" si="46"/>
        <v>1</v>
      </c>
      <c r="J823" s="129">
        <f t="shared" si="47"/>
        <v>0.0012418629862537417</v>
      </c>
    </row>
    <row r="824" spans="1:10" ht="12.75">
      <c r="A824" s="178">
        <f t="shared" si="44"/>
        <v>743</v>
      </c>
      <c r="B824" s="4"/>
      <c r="C824" s="80" t="s">
        <v>15</v>
      </c>
      <c r="D824" s="25"/>
      <c r="E824" s="47"/>
      <c r="F824" s="154"/>
      <c r="G824" s="154"/>
      <c r="H824" s="154"/>
      <c r="I824" s="199"/>
      <c r="J824" s="129"/>
    </row>
    <row r="825" spans="1:10" ht="12.75">
      <c r="A825" s="178">
        <f>A824+1</f>
        <v>744</v>
      </c>
      <c r="B825" s="4"/>
      <c r="C825" s="80" t="s">
        <v>165</v>
      </c>
      <c r="D825" s="25"/>
      <c r="E825" s="47"/>
      <c r="F825" s="154">
        <v>11970</v>
      </c>
      <c r="G825" s="154">
        <v>11970</v>
      </c>
      <c r="H825" s="154">
        <v>11970</v>
      </c>
      <c r="I825" s="199">
        <f t="shared" si="46"/>
        <v>1</v>
      </c>
      <c r="J825" s="129">
        <f t="shared" si="47"/>
        <v>0.0003767131258352075</v>
      </c>
    </row>
    <row r="826" spans="1:10" ht="12.75">
      <c r="A826" s="178">
        <f>A825+1</f>
        <v>745</v>
      </c>
      <c r="B826" s="4"/>
      <c r="C826" s="80" t="s">
        <v>166</v>
      </c>
      <c r="D826" s="25"/>
      <c r="E826" s="47"/>
      <c r="F826" s="154">
        <v>1990</v>
      </c>
      <c r="G826" s="154">
        <v>1990</v>
      </c>
      <c r="H826" s="154">
        <v>1990</v>
      </c>
      <c r="I826" s="199">
        <f t="shared" si="46"/>
        <v>1</v>
      </c>
      <c r="J826" s="129">
        <f t="shared" si="47"/>
        <v>6.26281637771147E-05</v>
      </c>
    </row>
    <row r="827" spans="1:10" ht="12.75">
      <c r="A827" s="178">
        <f>A826+1</f>
        <v>746</v>
      </c>
      <c r="B827" s="4"/>
      <c r="C827" s="80" t="s">
        <v>48</v>
      </c>
      <c r="D827" s="25"/>
      <c r="E827" s="47"/>
      <c r="F827" s="154">
        <v>19500</v>
      </c>
      <c r="G827" s="154">
        <v>19500</v>
      </c>
      <c r="H827" s="154">
        <v>19500</v>
      </c>
      <c r="I827" s="199">
        <f t="shared" si="46"/>
        <v>1</v>
      </c>
      <c r="J827" s="129">
        <f t="shared" si="47"/>
        <v>0.0006136930621375561</v>
      </c>
    </row>
    <row r="828" spans="1:10" ht="12.75">
      <c r="A828" s="178">
        <f>A827+1</f>
        <v>747</v>
      </c>
      <c r="B828" s="4"/>
      <c r="C828" s="80" t="s">
        <v>206</v>
      </c>
      <c r="D828" s="25"/>
      <c r="E828" s="47"/>
      <c r="F828" s="154">
        <v>6000</v>
      </c>
      <c r="G828" s="154">
        <v>6000</v>
      </c>
      <c r="H828" s="154">
        <v>6000</v>
      </c>
      <c r="I828" s="199">
        <f t="shared" si="46"/>
        <v>1</v>
      </c>
      <c r="J828" s="129">
        <f t="shared" si="47"/>
        <v>0.00018882863450386342</v>
      </c>
    </row>
    <row r="829" spans="1:10" ht="12.75">
      <c r="A829" s="178">
        <f aca="true" t="shared" si="48" ref="A829:A899">A828+1</f>
        <v>748</v>
      </c>
      <c r="B829" s="4">
        <v>4600</v>
      </c>
      <c r="C829" s="80" t="s">
        <v>288</v>
      </c>
      <c r="D829" s="25"/>
      <c r="E829" s="47"/>
      <c r="F829" s="154"/>
      <c r="G829" s="154"/>
      <c r="H829" s="154"/>
      <c r="I829" s="199"/>
      <c r="J829" s="129"/>
    </row>
    <row r="830" spans="1:10" ht="12.75">
      <c r="A830" s="178">
        <f t="shared" si="48"/>
        <v>749</v>
      </c>
      <c r="B830" s="4"/>
      <c r="C830" s="80" t="s">
        <v>289</v>
      </c>
      <c r="D830" s="25"/>
      <c r="E830" s="47"/>
      <c r="F830" s="154">
        <v>0</v>
      </c>
      <c r="G830" s="154">
        <v>0</v>
      </c>
      <c r="H830" s="154">
        <v>0</v>
      </c>
      <c r="I830" s="199"/>
      <c r="J830" s="129">
        <f t="shared" si="47"/>
        <v>0</v>
      </c>
    </row>
    <row r="831" spans="1:10" ht="12.75">
      <c r="A831" s="178">
        <f t="shared" si="48"/>
        <v>750</v>
      </c>
      <c r="B831" s="4">
        <v>6050</v>
      </c>
      <c r="C831" s="80" t="s">
        <v>150</v>
      </c>
      <c r="D831" s="25"/>
      <c r="E831" s="46">
        <f>SUM(E834:E834)</f>
        <v>90000</v>
      </c>
      <c r="F831" s="28">
        <f>SUM(F833:F846)</f>
        <v>833000</v>
      </c>
      <c r="G831" s="28">
        <f>SUM(G833:G846)</f>
        <v>1198478.75</v>
      </c>
      <c r="H831" s="28">
        <f>SUM(H833:H846)</f>
        <v>733616.06</v>
      </c>
      <c r="I831" s="199">
        <f t="shared" si="46"/>
        <v>0.6121227097268099</v>
      </c>
      <c r="J831" s="129">
        <f t="shared" si="47"/>
        <v>0.02308795314331739</v>
      </c>
    </row>
    <row r="832" spans="1:10" ht="12.75">
      <c r="A832" s="178">
        <f t="shared" si="48"/>
        <v>751</v>
      </c>
      <c r="B832" s="4"/>
      <c r="C832" s="80" t="s">
        <v>15</v>
      </c>
      <c r="D832" s="25"/>
      <c r="E832" s="47"/>
      <c r="F832" s="154"/>
      <c r="G832" s="154"/>
      <c r="H832" s="154"/>
      <c r="I832" s="199"/>
      <c r="J832" s="129"/>
    </row>
    <row r="833" spans="1:10" ht="12.75">
      <c r="A833" s="178">
        <f t="shared" si="48"/>
        <v>752</v>
      </c>
      <c r="B833" s="4"/>
      <c r="C833" s="80" t="s">
        <v>584</v>
      </c>
      <c r="D833" s="25"/>
      <c r="E833" s="47"/>
      <c r="F833" s="154">
        <v>0</v>
      </c>
      <c r="G833" s="154">
        <v>398133</v>
      </c>
      <c r="H833" s="154">
        <v>397685.21</v>
      </c>
      <c r="I833" s="199">
        <f t="shared" si="46"/>
        <v>0.9988752753476854</v>
      </c>
      <c r="J833" s="129">
        <f t="shared" si="47"/>
        <v>0.012515725861113694</v>
      </c>
    </row>
    <row r="834" spans="1:10" ht="12.75">
      <c r="A834" s="178">
        <f t="shared" si="48"/>
        <v>753</v>
      </c>
      <c r="B834" s="4"/>
      <c r="C834" s="80" t="s">
        <v>585</v>
      </c>
      <c r="D834" s="25"/>
      <c r="E834" s="47">
        <v>90000</v>
      </c>
      <c r="F834" s="154">
        <v>0</v>
      </c>
      <c r="G834" s="154">
        <v>61000</v>
      </c>
      <c r="H834" s="154">
        <v>61000</v>
      </c>
      <c r="I834" s="199">
        <f t="shared" si="46"/>
        <v>1</v>
      </c>
      <c r="J834" s="129">
        <f t="shared" si="47"/>
        <v>0.0019197577841226113</v>
      </c>
    </row>
    <row r="835" spans="1:10" ht="12.75">
      <c r="A835" s="178">
        <f t="shared" si="48"/>
        <v>754</v>
      </c>
      <c r="B835" s="4"/>
      <c r="C835" s="108" t="s">
        <v>580</v>
      </c>
      <c r="D835" s="25"/>
      <c r="E835" s="47"/>
      <c r="F835" s="154">
        <v>0</v>
      </c>
      <c r="G835" s="154">
        <v>1905.75</v>
      </c>
      <c r="H835" s="154">
        <v>0</v>
      </c>
      <c r="I835" s="199">
        <f t="shared" si="46"/>
        <v>0</v>
      </c>
      <c r="J835" s="129">
        <f t="shared" si="47"/>
        <v>0</v>
      </c>
    </row>
    <row r="836" spans="1:10" ht="12.75">
      <c r="A836" s="178">
        <f t="shared" si="48"/>
        <v>755</v>
      </c>
      <c r="B836" s="4"/>
      <c r="C836" s="80" t="s">
        <v>414</v>
      </c>
      <c r="D836" s="25"/>
      <c r="E836" s="47"/>
      <c r="F836" s="154">
        <v>40000</v>
      </c>
      <c r="G836" s="154">
        <v>0</v>
      </c>
      <c r="H836" s="154">
        <v>0</v>
      </c>
      <c r="I836" s="199"/>
      <c r="J836" s="129">
        <f t="shared" si="47"/>
        <v>0</v>
      </c>
    </row>
    <row r="837" spans="1:10" ht="12.75">
      <c r="A837" s="178">
        <f t="shared" si="48"/>
        <v>756</v>
      </c>
      <c r="B837" s="4"/>
      <c r="C837" s="80" t="s">
        <v>434</v>
      </c>
      <c r="D837" s="25"/>
      <c r="E837" s="47"/>
      <c r="F837" s="154">
        <v>50000</v>
      </c>
      <c r="G837" s="154">
        <v>50000</v>
      </c>
      <c r="H837" s="154">
        <v>0</v>
      </c>
      <c r="I837" s="199">
        <f aca="true" t="shared" si="49" ref="I837:I911">H837/G837</f>
        <v>0</v>
      </c>
      <c r="J837" s="129">
        <f t="shared" si="47"/>
        <v>0</v>
      </c>
    </row>
    <row r="838" spans="1:10" ht="12.75">
      <c r="A838" s="178">
        <f t="shared" si="48"/>
        <v>757</v>
      </c>
      <c r="B838" s="4"/>
      <c r="C838" s="80" t="s">
        <v>494</v>
      </c>
      <c r="D838" s="25"/>
      <c r="E838" s="47"/>
      <c r="F838" s="154">
        <f>100000-20000</f>
        <v>80000</v>
      </c>
      <c r="G838" s="154">
        <v>0</v>
      </c>
      <c r="H838" s="154">
        <v>0</v>
      </c>
      <c r="I838" s="199"/>
      <c r="J838" s="129">
        <f t="shared" si="47"/>
        <v>0</v>
      </c>
    </row>
    <row r="839" spans="1:10" ht="12.75">
      <c r="A839" s="178">
        <f t="shared" si="48"/>
        <v>758</v>
      </c>
      <c r="B839" s="4"/>
      <c r="C839" s="80" t="s">
        <v>415</v>
      </c>
      <c r="D839" s="25"/>
      <c r="E839" s="47"/>
      <c r="F839" s="154">
        <v>100000</v>
      </c>
      <c r="G839" s="154">
        <v>132440</v>
      </c>
      <c r="H839" s="154">
        <v>132434.85</v>
      </c>
      <c r="I839" s="199">
        <f t="shared" si="49"/>
        <v>0.9999611144669285</v>
      </c>
      <c r="J839" s="129">
        <f t="shared" si="47"/>
        <v>0.004167915314370663</v>
      </c>
    </row>
    <row r="840" spans="1:10" ht="12.75">
      <c r="A840" s="178">
        <f t="shared" si="48"/>
        <v>759</v>
      </c>
      <c r="B840" s="4"/>
      <c r="C840" s="80" t="s">
        <v>416</v>
      </c>
      <c r="D840" s="25"/>
      <c r="E840" s="47"/>
      <c r="F840" s="154"/>
      <c r="G840" s="154"/>
      <c r="H840" s="154"/>
      <c r="I840" s="199"/>
      <c r="J840" s="129"/>
    </row>
    <row r="841" spans="1:10" ht="12.75">
      <c r="A841" s="178">
        <f t="shared" si="48"/>
        <v>760</v>
      </c>
      <c r="B841" s="4"/>
      <c r="C841" s="80" t="s">
        <v>417</v>
      </c>
      <c r="D841" s="25"/>
      <c r="E841" s="47"/>
      <c r="F841" s="154">
        <v>409000</v>
      </c>
      <c r="G841" s="154">
        <v>0</v>
      </c>
      <c r="H841" s="154">
        <v>0</v>
      </c>
      <c r="I841" s="199"/>
      <c r="J841" s="129">
        <f t="shared" si="47"/>
        <v>0</v>
      </c>
    </row>
    <row r="842" spans="1:10" ht="12.75">
      <c r="A842" s="178">
        <f t="shared" si="48"/>
        <v>761</v>
      </c>
      <c r="B842" s="4"/>
      <c r="C842" s="80" t="s">
        <v>658</v>
      </c>
      <c r="D842" s="25"/>
      <c r="E842" s="47"/>
      <c r="F842" s="154">
        <v>0</v>
      </c>
      <c r="G842" s="154">
        <v>340000</v>
      </c>
      <c r="H842" s="154">
        <v>0</v>
      </c>
      <c r="I842" s="199"/>
      <c r="J842" s="129">
        <f t="shared" si="47"/>
        <v>0</v>
      </c>
    </row>
    <row r="843" spans="1:10" ht="12.75">
      <c r="A843" s="178">
        <f t="shared" si="48"/>
        <v>762</v>
      </c>
      <c r="B843" s="4"/>
      <c r="C843" s="80" t="s">
        <v>659</v>
      </c>
      <c r="D843" s="25"/>
      <c r="E843" s="47"/>
      <c r="F843" s="154">
        <v>0</v>
      </c>
      <c r="G843" s="154">
        <v>80000</v>
      </c>
      <c r="H843" s="154">
        <v>61488</v>
      </c>
      <c r="I843" s="199">
        <f t="shared" si="49"/>
        <v>0.7686</v>
      </c>
      <c r="J843" s="129">
        <f t="shared" si="47"/>
        <v>0.0019351158463955921</v>
      </c>
    </row>
    <row r="844" spans="1:10" ht="12.75">
      <c r="A844" s="178">
        <f t="shared" si="48"/>
        <v>763</v>
      </c>
      <c r="B844" s="4"/>
      <c r="C844" s="80" t="s">
        <v>660</v>
      </c>
      <c r="D844" s="25"/>
      <c r="E844" s="47"/>
      <c r="F844" s="154">
        <v>0</v>
      </c>
      <c r="G844" s="154">
        <v>60000</v>
      </c>
      <c r="H844" s="154">
        <v>19520</v>
      </c>
      <c r="I844" s="199">
        <f t="shared" si="49"/>
        <v>0.3253333333333333</v>
      </c>
      <c r="J844" s="129">
        <f t="shared" si="47"/>
        <v>0.0006143224909192356</v>
      </c>
    </row>
    <row r="845" spans="1:10" ht="12.75">
      <c r="A845" s="178">
        <f t="shared" si="48"/>
        <v>764</v>
      </c>
      <c r="B845" s="4"/>
      <c r="C845" s="80" t="s">
        <v>661</v>
      </c>
      <c r="D845" s="25"/>
      <c r="E845" s="47"/>
      <c r="F845" s="154">
        <v>0</v>
      </c>
      <c r="G845" s="154">
        <v>75000</v>
      </c>
      <c r="H845" s="154">
        <v>61488</v>
      </c>
      <c r="I845" s="199">
        <f t="shared" si="49"/>
        <v>0.81984</v>
      </c>
      <c r="J845" s="129">
        <f t="shared" si="47"/>
        <v>0.0019351158463955921</v>
      </c>
    </row>
    <row r="846" spans="1:10" ht="12.75">
      <c r="A846" s="178">
        <f t="shared" si="48"/>
        <v>765</v>
      </c>
      <c r="B846" s="4"/>
      <c r="C846" s="80" t="s">
        <v>418</v>
      </c>
      <c r="D846" s="25"/>
      <c r="E846" s="47"/>
      <c r="F846" s="154">
        <v>154000</v>
      </c>
      <c r="G846" s="154">
        <v>0</v>
      </c>
      <c r="H846" s="154">
        <v>0</v>
      </c>
      <c r="I846" s="199"/>
      <c r="J846" s="129">
        <f t="shared" si="47"/>
        <v>0</v>
      </c>
    </row>
    <row r="847" spans="1:10" s="71" customFormat="1" ht="12.75">
      <c r="A847" s="178">
        <f t="shared" si="48"/>
        <v>766</v>
      </c>
      <c r="B847" s="57">
        <v>851</v>
      </c>
      <c r="C847" s="79" t="s">
        <v>9</v>
      </c>
      <c r="D847" s="59"/>
      <c r="E847" s="60" t="e">
        <f>#REF!+E851</f>
        <v>#REF!</v>
      </c>
      <c r="F847" s="59">
        <f>F848+F851+F875</f>
        <v>320000</v>
      </c>
      <c r="G847" s="59">
        <f>G848+G851+G875</f>
        <v>324500</v>
      </c>
      <c r="H847" s="59">
        <f>H848+H851+H875</f>
        <v>255994.95</v>
      </c>
      <c r="I847" s="199">
        <f t="shared" si="49"/>
        <v>0.7888904468412943</v>
      </c>
      <c r="J847" s="129">
        <f t="shared" si="47"/>
        <v>0.008056529474730798</v>
      </c>
    </row>
    <row r="848" spans="1:10" s="74" customFormat="1" ht="12.75">
      <c r="A848" s="178">
        <f t="shared" si="48"/>
        <v>767</v>
      </c>
      <c r="B848" s="63">
        <v>85153</v>
      </c>
      <c r="C848" s="69" t="s">
        <v>322</v>
      </c>
      <c r="D848" s="64"/>
      <c r="E848" s="65"/>
      <c r="F848" s="64">
        <f>SUM(F849:F850)</f>
        <v>20000</v>
      </c>
      <c r="G848" s="64">
        <f>SUM(G849:G850)</f>
        <v>20000</v>
      </c>
      <c r="H848" s="64">
        <f>SUM(H849:H850)</f>
        <v>18167.64</v>
      </c>
      <c r="I848" s="199">
        <f t="shared" si="49"/>
        <v>0.908382</v>
      </c>
      <c r="J848" s="129">
        <f t="shared" si="47"/>
        <v>0.0005717617755596282</v>
      </c>
    </row>
    <row r="849" spans="1:10" s="71" customFormat="1" ht="12.75">
      <c r="A849" s="178">
        <f t="shared" si="48"/>
        <v>768</v>
      </c>
      <c r="B849" s="14">
        <v>4210</v>
      </c>
      <c r="C849" s="122" t="s">
        <v>153</v>
      </c>
      <c r="D849" s="59"/>
      <c r="E849" s="60"/>
      <c r="F849" s="85">
        <v>8000</v>
      </c>
      <c r="G849" s="160">
        <v>10000</v>
      </c>
      <c r="H849" s="160">
        <v>9861.05</v>
      </c>
      <c r="I849" s="199">
        <f t="shared" si="49"/>
        <v>0.9861049999999999</v>
      </c>
      <c r="J849" s="129">
        <f t="shared" si="47"/>
        <v>0.00031034143437905367</v>
      </c>
    </row>
    <row r="850" spans="1:10" s="71" customFormat="1" ht="12.75">
      <c r="A850" s="178">
        <f t="shared" si="48"/>
        <v>769</v>
      </c>
      <c r="B850" s="14">
        <v>4300</v>
      </c>
      <c r="C850" s="122" t="s">
        <v>151</v>
      </c>
      <c r="D850" s="59"/>
      <c r="E850" s="60"/>
      <c r="F850" s="85">
        <v>12000</v>
      </c>
      <c r="G850" s="160">
        <v>10000</v>
      </c>
      <c r="H850" s="160">
        <v>8306.59</v>
      </c>
      <c r="I850" s="199">
        <f t="shared" si="49"/>
        <v>0.830659</v>
      </c>
      <c r="J850" s="129">
        <f t="shared" si="47"/>
        <v>0.00026142034118057446</v>
      </c>
    </row>
    <row r="851" spans="1:10" s="74" customFormat="1" ht="15" customHeight="1">
      <c r="A851" s="178">
        <f t="shared" si="48"/>
        <v>770</v>
      </c>
      <c r="B851" s="63">
        <v>85154</v>
      </c>
      <c r="C851" s="69" t="s">
        <v>51</v>
      </c>
      <c r="D851" s="64"/>
      <c r="E851" s="65" t="e">
        <f>E852+#REF!+E856+E857+E862+E863+E865+#REF!+#REF!+E877</f>
        <v>#REF!</v>
      </c>
      <c r="F851" s="64">
        <f>F853+F856+F857+F858+F862+F863+F864+F865+F867+F869+F871+F872</f>
        <v>300000</v>
      </c>
      <c r="G851" s="64">
        <f>G853+G856+G857+G858+G862+G863+G864+G865+G867+G869+G871+G872</f>
        <v>220000</v>
      </c>
      <c r="H851" s="64">
        <f>H853+H856+H857+H858+H862+H863+H864+H865+H867+H869+H871+H872</f>
        <v>153327.31</v>
      </c>
      <c r="I851" s="199">
        <f t="shared" si="49"/>
        <v>0.6969423181818182</v>
      </c>
      <c r="J851" s="129">
        <f t="shared" si="47"/>
        <v>0.004825431096575093</v>
      </c>
    </row>
    <row r="852" spans="1:10" s="61" customFormat="1" ht="15" customHeight="1">
      <c r="A852" s="178">
        <f t="shared" si="48"/>
        <v>771</v>
      </c>
      <c r="B852" s="86">
        <v>2820</v>
      </c>
      <c r="C852" s="80" t="s">
        <v>236</v>
      </c>
      <c r="D852" s="85"/>
      <c r="E852" s="83">
        <f>SUM(E855:E855)</f>
        <v>88000</v>
      </c>
      <c r="F852" s="85"/>
      <c r="G852" s="160"/>
      <c r="H852" s="160"/>
      <c r="I852" s="199"/>
      <c r="J852" s="129"/>
    </row>
    <row r="853" spans="1:10" s="61" customFormat="1" ht="15" customHeight="1">
      <c r="A853" s="178">
        <f t="shared" si="48"/>
        <v>772</v>
      </c>
      <c r="B853" s="86"/>
      <c r="C853" s="80" t="s">
        <v>237</v>
      </c>
      <c r="D853" s="85"/>
      <c r="E853" s="84"/>
      <c r="F853" s="160">
        <f>SUM(F855:F855)</f>
        <v>80000</v>
      </c>
      <c r="G853" s="160">
        <f>SUM(G855:G855)</f>
        <v>0</v>
      </c>
      <c r="H853" s="160">
        <f>SUM(H855:H855)</f>
        <v>0</v>
      </c>
      <c r="I853" s="199"/>
      <c r="J853" s="129">
        <f t="shared" si="47"/>
        <v>0</v>
      </c>
    </row>
    <row r="854" spans="1:10" s="61" customFormat="1" ht="15" customHeight="1">
      <c r="A854" s="178">
        <f t="shared" si="48"/>
        <v>773</v>
      </c>
      <c r="B854" s="86"/>
      <c r="C854" s="80" t="s">
        <v>15</v>
      </c>
      <c r="D854" s="85"/>
      <c r="E854" s="83"/>
      <c r="F854" s="160"/>
      <c r="G854" s="160"/>
      <c r="H854" s="160"/>
      <c r="I854" s="199"/>
      <c r="J854" s="129"/>
    </row>
    <row r="855" spans="1:10" s="61" customFormat="1" ht="15" customHeight="1">
      <c r="A855" s="178">
        <f t="shared" si="48"/>
        <v>774</v>
      </c>
      <c r="B855" s="86"/>
      <c r="C855" s="108" t="s">
        <v>229</v>
      </c>
      <c r="D855" s="85"/>
      <c r="E855" s="84">
        <v>88000</v>
      </c>
      <c r="F855" s="160">
        <v>80000</v>
      </c>
      <c r="G855" s="160">
        <v>0</v>
      </c>
      <c r="H855" s="160">
        <v>0</v>
      </c>
      <c r="I855" s="199"/>
      <c r="J855" s="129">
        <f t="shared" si="47"/>
        <v>0</v>
      </c>
    </row>
    <row r="856" spans="1:10" ht="12.75">
      <c r="A856" s="178">
        <f t="shared" si="48"/>
        <v>775</v>
      </c>
      <c r="B856" s="6">
        <v>4110</v>
      </c>
      <c r="C856" s="80" t="s">
        <v>32</v>
      </c>
      <c r="D856" s="25"/>
      <c r="E856" s="47">
        <v>4000</v>
      </c>
      <c r="F856" s="160">
        <v>0</v>
      </c>
      <c r="G856" s="160">
        <v>0</v>
      </c>
      <c r="H856" s="160">
        <v>0</v>
      </c>
      <c r="I856" s="199"/>
      <c r="J856" s="129">
        <f t="shared" si="47"/>
        <v>0</v>
      </c>
    </row>
    <row r="857" spans="1:10" ht="12.75">
      <c r="A857" s="178">
        <f t="shared" si="48"/>
        <v>776</v>
      </c>
      <c r="B857" s="6">
        <v>4120</v>
      </c>
      <c r="C857" s="80" t="s">
        <v>33</v>
      </c>
      <c r="D857" s="25"/>
      <c r="E857" s="47">
        <v>1000</v>
      </c>
      <c r="F857" s="160">
        <v>0</v>
      </c>
      <c r="G857" s="160">
        <v>0</v>
      </c>
      <c r="H857" s="160">
        <v>0</v>
      </c>
      <c r="I857" s="199"/>
      <c r="J857" s="129">
        <f t="shared" si="47"/>
        <v>0</v>
      </c>
    </row>
    <row r="858" spans="1:10" ht="12.75">
      <c r="A858" s="178">
        <f t="shared" si="48"/>
        <v>777</v>
      </c>
      <c r="B858" s="6">
        <v>4170</v>
      </c>
      <c r="C858" s="80" t="s">
        <v>258</v>
      </c>
      <c r="D858" s="25"/>
      <c r="E858" s="47"/>
      <c r="F858" s="160">
        <f>SUM(F860:F861)</f>
        <v>60000</v>
      </c>
      <c r="G858" s="160">
        <f>SUM(G860:G861)</f>
        <v>35750</v>
      </c>
      <c r="H858" s="160">
        <f>SUM(H860:H861)</f>
        <v>29893</v>
      </c>
      <c r="I858" s="199">
        <f t="shared" si="49"/>
        <v>0.8361678321678322</v>
      </c>
      <c r="J858" s="129">
        <f t="shared" si="47"/>
        <v>0.0009407757285373315</v>
      </c>
    </row>
    <row r="859" spans="1:10" ht="12.75">
      <c r="A859" s="178">
        <f t="shared" si="48"/>
        <v>778</v>
      </c>
      <c r="B859" s="6"/>
      <c r="C859" s="80" t="s">
        <v>15</v>
      </c>
      <c r="D859" s="25"/>
      <c r="E859" s="47"/>
      <c r="F859" s="160"/>
      <c r="G859" s="160"/>
      <c r="H859" s="160"/>
      <c r="I859" s="199"/>
      <c r="J859" s="129"/>
    </row>
    <row r="860" spans="1:10" ht="12.75">
      <c r="A860" s="178">
        <f t="shared" si="48"/>
        <v>779</v>
      </c>
      <c r="B860" s="6"/>
      <c r="C860" s="80" t="s">
        <v>282</v>
      </c>
      <c r="D860" s="25"/>
      <c r="E860" s="47"/>
      <c r="F860" s="160">
        <v>15000</v>
      </c>
      <c r="G860" s="160">
        <v>15000</v>
      </c>
      <c r="H860" s="160">
        <v>9550</v>
      </c>
      <c r="I860" s="199">
        <f t="shared" si="49"/>
        <v>0.6366666666666667</v>
      </c>
      <c r="J860" s="129">
        <f t="shared" si="47"/>
        <v>0.00030055224325198257</v>
      </c>
    </row>
    <row r="861" spans="1:10" ht="12.75">
      <c r="A861" s="178">
        <f t="shared" si="48"/>
        <v>780</v>
      </c>
      <c r="B861" s="6"/>
      <c r="C861" s="80" t="s">
        <v>283</v>
      </c>
      <c r="D861" s="25"/>
      <c r="E861" s="47"/>
      <c r="F861" s="160">
        <v>45000</v>
      </c>
      <c r="G861" s="160">
        <v>20750</v>
      </c>
      <c r="H861" s="160">
        <v>20343</v>
      </c>
      <c r="I861" s="199">
        <f t="shared" si="49"/>
        <v>0.9803855421686747</v>
      </c>
      <c r="J861" s="129">
        <f t="shared" si="47"/>
        <v>0.0006402234852853489</v>
      </c>
    </row>
    <row r="862" spans="1:10" s="32" customFormat="1" ht="12.75">
      <c r="A862" s="178">
        <f t="shared" si="48"/>
        <v>781</v>
      </c>
      <c r="B862" s="14">
        <v>4210</v>
      </c>
      <c r="C862" s="122" t="s">
        <v>153</v>
      </c>
      <c r="D862" s="25"/>
      <c r="E862" s="47">
        <v>5000</v>
      </c>
      <c r="F862" s="160">
        <v>12000</v>
      </c>
      <c r="G862" s="160">
        <v>25750</v>
      </c>
      <c r="H862" s="160">
        <v>23556.67</v>
      </c>
      <c r="I862" s="199">
        <f t="shared" si="49"/>
        <v>0.9148221359223301</v>
      </c>
      <c r="J862" s="129">
        <f t="shared" si="47"/>
        <v>0.000741362304926354</v>
      </c>
    </row>
    <row r="863" spans="1:10" s="32" customFormat="1" ht="12.75">
      <c r="A863" s="178">
        <f t="shared" si="48"/>
        <v>782</v>
      </c>
      <c r="B863" s="14">
        <v>4260</v>
      </c>
      <c r="C863" s="122" t="s">
        <v>155</v>
      </c>
      <c r="D863" s="25"/>
      <c r="E863" s="47">
        <v>3000</v>
      </c>
      <c r="F863" s="160">
        <v>12000</v>
      </c>
      <c r="G863" s="160">
        <v>13000</v>
      </c>
      <c r="H863" s="160">
        <v>8187.75</v>
      </c>
      <c r="I863" s="199">
        <f t="shared" si="49"/>
        <v>0.6298269230769231</v>
      </c>
      <c r="J863" s="129">
        <f t="shared" si="47"/>
        <v>0.0002576802753598346</v>
      </c>
    </row>
    <row r="864" spans="1:10" s="32" customFormat="1" ht="12.75">
      <c r="A864" s="178">
        <f t="shared" si="48"/>
        <v>783</v>
      </c>
      <c r="B864" s="14">
        <v>4270</v>
      </c>
      <c r="C864" s="122" t="s">
        <v>152</v>
      </c>
      <c r="D864" s="25"/>
      <c r="E864" s="47"/>
      <c r="F864" s="160">
        <v>0</v>
      </c>
      <c r="G864" s="160">
        <v>0</v>
      </c>
      <c r="H864" s="160">
        <v>0</v>
      </c>
      <c r="I864" s="199"/>
      <c r="J864" s="129">
        <f t="shared" si="47"/>
        <v>0</v>
      </c>
    </row>
    <row r="865" spans="1:10" s="32" customFormat="1" ht="12.75">
      <c r="A865" s="178">
        <f t="shared" si="48"/>
        <v>784</v>
      </c>
      <c r="B865" s="14">
        <v>4300</v>
      </c>
      <c r="C865" s="122" t="s">
        <v>151</v>
      </c>
      <c r="D865" s="25"/>
      <c r="E865" s="46" t="e">
        <f>SUM(#REF!)</f>
        <v>#REF!</v>
      </c>
      <c r="F865" s="28">
        <v>63000</v>
      </c>
      <c r="G865" s="154">
        <v>69500</v>
      </c>
      <c r="H865" s="154">
        <v>67664.39</v>
      </c>
      <c r="I865" s="199">
        <f t="shared" si="49"/>
        <v>0.973588345323741</v>
      </c>
      <c r="J865" s="129">
        <f t="shared" si="47"/>
        <v>0.0021294957280394784</v>
      </c>
    </row>
    <row r="866" spans="1:10" ht="12.75">
      <c r="A866" s="178">
        <f t="shared" si="48"/>
        <v>785</v>
      </c>
      <c r="B866" s="15">
        <v>4360</v>
      </c>
      <c r="C866" s="123" t="s">
        <v>368</v>
      </c>
      <c r="D866" s="25"/>
      <c r="E866" s="47"/>
      <c r="F866" s="160"/>
      <c r="G866" s="160"/>
      <c r="H866" s="160"/>
      <c r="I866" s="199"/>
      <c r="J866" s="129"/>
    </row>
    <row r="867" spans="1:10" ht="12.75">
      <c r="A867" s="178">
        <f t="shared" si="48"/>
        <v>786</v>
      </c>
      <c r="B867" s="15"/>
      <c r="C867" s="123" t="s">
        <v>348</v>
      </c>
      <c r="D867" s="25"/>
      <c r="E867" s="47"/>
      <c r="F867" s="160">
        <v>1500</v>
      </c>
      <c r="G867" s="160">
        <v>0</v>
      </c>
      <c r="H867" s="160">
        <v>0</v>
      </c>
      <c r="I867" s="199"/>
      <c r="J867" s="129">
        <f t="shared" si="47"/>
        <v>0</v>
      </c>
    </row>
    <row r="868" spans="1:10" ht="12.75">
      <c r="A868" s="178">
        <f t="shared" si="48"/>
        <v>787</v>
      </c>
      <c r="B868" s="15">
        <v>4370</v>
      </c>
      <c r="C868" s="123" t="s">
        <v>368</v>
      </c>
      <c r="D868" s="25"/>
      <c r="E868" s="47"/>
      <c r="F868" s="160"/>
      <c r="G868" s="160"/>
      <c r="H868" s="160"/>
      <c r="I868" s="199"/>
      <c r="J868" s="129"/>
    </row>
    <row r="869" spans="1:10" ht="12.75">
      <c r="A869" s="178">
        <f t="shared" si="48"/>
        <v>788</v>
      </c>
      <c r="B869" s="15"/>
      <c r="C869" s="123" t="s">
        <v>349</v>
      </c>
      <c r="D869" s="25"/>
      <c r="E869" s="47"/>
      <c r="F869" s="160">
        <v>1500</v>
      </c>
      <c r="G869" s="160">
        <v>3000</v>
      </c>
      <c r="H869" s="160">
        <v>2789.69</v>
      </c>
      <c r="I869" s="199">
        <f t="shared" si="49"/>
        <v>0.9298966666666667</v>
      </c>
      <c r="J869" s="129">
        <f t="shared" si="47"/>
        <v>8.779555889818046E-05</v>
      </c>
    </row>
    <row r="870" spans="1:10" ht="12.75">
      <c r="A870" s="178">
        <f t="shared" si="48"/>
        <v>789</v>
      </c>
      <c r="B870" s="15">
        <v>4400</v>
      </c>
      <c r="C870" s="123" t="s">
        <v>548</v>
      </c>
      <c r="D870" s="25"/>
      <c r="E870" s="47"/>
      <c r="F870" s="160"/>
      <c r="G870" s="160"/>
      <c r="H870" s="160"/>
      <c r="I870" s="199"/>
      <c r="J870" s="129"/>
    </row>
    <row r="871" spans="1:10" ht="12.75">
      <c r="A871" s="178">
        <f t="shared" si="48"/>
        <v>790</v>
      </c>
      <c r="B871" s="15"/>
      <c r="C871" s="123" t="s">
        <v>547</v>
      </c>
      <c r="D871" s="25"/>
      <c r="E871" s="47"/>
      <c r="F871" s="160">
        <v>20000</v>
      </c>
      <c r="G871" s="160">
        <v>23000</v>
      </c>
      <c r="H871" s="160">
        <v>21235.81</v>
      </c>
      <c r="I871" s="199">
        <f t="shared" si="49"/>
        <v>0.9232960869565218</v>
      </c>
      <c r="J871" s="129">
        <f t="shared" si="47"/>
        <v>0.0006683215008139147</v>
      </c>
    </row>
    <row r="872" spans="1:10" ht="12.75">
      <c r="A872" s="178">
        <f t="shared" si="48"/>
        <v>791</v>
      </c>
      <c r="B872" s="6">
        <v>6050</v>
      </c>
      <c r="C872" s="80" t="s">
        <v>150</v>
      </c>
      <c r="D872" s="25"/>
      <c r="E872" s="47"/>
      <c r="F872" s="154">
        <f>F874</f>
        <v>50000</v>
      </c>
      <c r="G872" s="154">
        <f>G874</f>
        <v>50000</v>
      </c>
      <c r="H872" s="154">
        <f>H874</f>
        <v>0</v>
      </c>
      <c r="I872" s="199">
        <f t="shared" si="49"/>
        <v>0</v>
      </c>
      <c r="J872" s="129">
        <f t="shared" si="47"/>
        <v>0</v>
      </c>
    </row>
    <row r="873" spans="1:10" ht="12.75">
      <c r="A873" s="178">
        <f t="shared" si="48"/>
        <v>792</v>
      </c>
      <c r="B873" s="6"/>
      <c r="C873" s="80" t="s">
        <v>15</v>
      </c>
      <c r="D873" s="25"/>
      <c r="E873" s="47"/>
      <c r="F873" s="154"/>
      <c r="G873" s="154"/>
      <c r="H873" s="154"/>
      <c r="I873" s="199"/>
      <c r="J873" s="129"/>
    </row>
    <row r="874" spans="1:10" ht="12.75">
      <c r="A874" s="178">
        <f t="shared" si="48"/>
        <v>793</v>
      </c>
      <c r="B874" s="6"/>
      <c r="C874" s="108" t="s">
        <v>495</v>
      </c>
      <c r="D874" s="25"/>
      <c r="E874" s="47"/>
      <c r="F874" s="154">
        <v>50000</v>
      </c>
      <c r="G874" s="154">
        <v>50000</v>
      </c>
      <c r="H874" s="154">
        <v>0</v>
      </c>
      <c r="I874" s="199">
        <f t="shared" si="49"/>
        <v>0</v>
      </c>
      <c r="J874" s="129">
        <f t="shared" si="47"/>
        <v>0</v>
      </c>
    </row>
    <row r="875" spans="1:10" ht="12.75">
      <c r="A875" s="178">
        <f t="shared" si="48"/>
        <v>794</v>
      </c>
      <c r="B875" s="239">
        <v>85195</v>
      </c>
      <c r="C875" s="211" t="s">
        <v>25</v>
      </c>
      <c r="D875" s="25"/>
      <c r="E875" s="47"/>
      <c r="F875" s="182">
        <f>SUM(F878:F880)</f>
        <v>0</v>
      </c>
      <c r="G875" s="182">
        <f>SUM(G878:G880)</f>
        <v>84500</v>
      </c>
      <c r="H875" s="182">
        <f>SUM(H878:H880)</f>
        <v>84500</v>
      </c>
      <c r="I875" s="199">
        <f t="shared" si="49"/>
        <v>1</v>
      </c>
      <c r="J875" s="129">
        <f t="shared" si="47"/>
        <v>0.0026593366025960763</v>
      </c>
    </row>
    <row r="876" spans="1:10" ht="12.75">
      <c r="A876" s="178">
        <f t="shared" si="48"/>
        <v>795</v>
      </c>
      <c r="B876" s="86">
        <v>2820</v>
      </c>
      <c r="C876" s="80" t="s">
        <v>236</v>
      </c>
      <c r="D876" s="25"/>
      <c r="E876" s="47"/>
      <c r="F876" s="154"/>
      <c r="G876" s="154"/>
      <c r="H876" s="154"/>
      <c r="I876" s="199"/>
      <c r="J876" s="129"/>
    </row>
    <row r="877" spans="1:10" ht="12.75">
      <c r="A877" s="178">
        <f t="shared" si="48"/>
        <v>796</v>
      </c>
      <c r="B877" s="86"/>
      <c r="C877" s="80" t="s">
        <v>237</v>
      </c>
      <c r="D877" s="25"/>
      <c r="E877" s="47">
        <v>0</v>
      </c>
      <c r="F877" s="160"/>
      <c r="G877" s="160"/>
      <c r="H877" s="160"/>
      <c r="I877" s="199"/>
      <c r="J877" s="129"/>
    </row>
    <row r="878" spans="1:10" ht="12.75">
      <c r="A878" s="178">
        <f t="shared" si="48"/>
        <v>797</v>
      </c>
      <c r="B878" s="6"/>
      <c r="C878" s="80" t="s">
        <v>586</v>
      </c>
      <c r="D878" s="25"/>
      <c r="E878" s="47"/>
      <c r="F878" s="160">
        <v>0</v>
      </c>
      <c r="G878" s="160">
        <v>80000</v>
      </c>
      <c r="H878" s="160">
        <v>80000</v>
      </c>
      <c r="I878" s="199">
        <f t="shared" si="49"/>
        <v>1</v>
      </c>
      <c r="J878" s="129">
        <f aca="true" t="shared" si="50" ref="J878:J920">H878/H$54</f>
        <v>0.0025177151267181787</v>
      </c>
    </row>
    <row r="879" spans="1:10" ht="12.75">
      <c r="A879" s="178">
        <f t="shared" si="48"/>
        <v>798</v>
      </c>
      <c r="B879" s="6">
        <v>4300</v>
      </c>
      <c r="C879" s="80" t="s">
        <v>587</v>
      </c>
      <c r="D879" s="25"/>
      <c r="E879" s="47"/>
      <c r="F879" s="160"/>
      <c r="G879" s="160"/>
      <c r="H879" s="160"/>
      <c r="I879" s="199"/>
      <c r="J879" s="129"/>
    </row>
    <row r="880" spans="1:10" ht="12.75">
      <c r="A880" s="178">
        <f t="shared" si="48"/>
        <v>799</v>
      </c>
      <c r="B880" s="6"/>
      <c r="C880" s="80" t="s">
        <v>588</v>
      </c>
      <c r="D880" s="25"/>
      <c r="E880" s="47"/>
      <c r="F880" s="160">
        <v>0</v>
      </c>
      <c r="G880" s="160">
        <v>4500</v>
      </c>
      <c r="H880" s="160">
        <v>4500</v>
      </c>
      <c r="I880" s="199">
        <f t="shared" si="49"/>
        <v>1</v>
      </c>
      <c r="J880" s="129">
        <f t="shared" si="50"/>
        <v>0.00014162147587789756</v>
      </c>
    </row>
    <row r="881" spans="1:10" ht="12.75">
      <c r="A881" s="178">
        <f t="shared" si="48"/>
        <v>800</v>
      </c>
      <c r="B881" s="57">
        <v>852</v>
      </c>
      <c r="C881" s="79" t="s">
        <v>224</v>
      </c>
      <c r="D881" s="25"/>
      <c r="E881" s="47"/>
      <c r="F881" s="167">
        <f>F883+F924+F927+F940+F942+F976+F984</f>
        <v>2960341</v>
      </c>
      <c r="G881" s="167">
        <f>G883+G924+G927+G940+G942+G976+G984</f>
        <v>2994706</v>
      </c>
      <c r="H881" s="167">
        <f>H883+H924+H927+H940+H942+H976+H984</f>
        <v>2631079.6</v>
      </c>
      <c r="I881" s="199">
        <f t="shared" si="49"/>
        <v>0.8785769287536073</v>
      </c>
      <c r="J881" s="129">
        <f t="shared" si="50"/>
        <v>0.08280386135649519</v>
      </c>
    </row>
    <row r="882" spans="1:10" s="66" customFormat="1" ht="12.75">
      <c r="A882" s="178">
        <f t="shared" si="48"/>
        <v>801</v>
      </c>
      <c r="B882" s="63">
        <v>85212</v>
      </c>
      <c r="C882" s="69" t="s">
        <v>328</v>
      </c>
      <c r="D882" s="64"/>
      <c r="E882" s="139"/>
      <c r="F882" s="164"/>
      <c r="G882" s="164"/>
      <c r="H882" s="164"/>
      <c r="I882" s="199"/>
      <c r="J882" s="136"/>
    </row>
    <row r="883" spans="1:10" s="66" customFormat="1" ht="12.75">
      <c r="A883" s="178">
        <f t="shared" si="48"/>
        <v>802</v>
      </c>
      <c r="B883" s="70"/>
      <c r="C883" s="69" t="s">
        <v>327</v>
      </c>
      <c r="D883" s="64"/>
      <c r="E883" s="139"/>
      <c r="F883" s="164">
        <f>F884+F889+F893+F898+F903+F907+F911+F913+F915+F916+F918+F920</f>
        <v>1350051</v>
      </c>
      <c r="G883" s="164">
        <f>G884+G889+G893+G898+G903+G907+G911+G913+G915+G916+G918+G920</f>
        <v>1284051</v>
      </c>
      <c r="H883" s="164">
        <f>H884+H889+H893+H898+H903+H907+H911+H913+H915+H916+H918+H920</f>
        <v>1107007.5500000003</v>
      </c>
      <c r="I883" s="199">
        <f t="shared" si="49"/>
        <v>0.862121169642016</v>
      </c>
      <c r="J883" s="129">
        <f t="shared" si="50"/>
        <v>0.03483912067532789</v>
      </c>
    </row>
    <row r="884" spans="1:10" s="61" customFormat="1" ht="12.75">
      <c r="A884" s="178">
        <f t="shared" si="48"/>
        <v>803</v>
      </c>
      <c r="B884" s="86">
        <v>3110</v>
      </c>
      <c r="C884" s="80" t="s">
        <v>54</v>
      </c>
      <c r="D884" s="85"/>
      <c r="E884" s="84"/>
      <c r="F884" s="160">
        <f>SUM(F886:F888)</f>
        <v>1224000</v>
      </c>
      <c r="G884" s="160">
        <f>SUM(G886:G888)</f>
        <v>1164508.79</v>
      </c>
      <c r="H884" s="160">
        <f>SUM(H886:H888)</f>
        <v>1012635.11</v>
      </c>
      <c r="I884" s="199">
        <f t="shared" si="49"/>
        <v>0.8695813365221571</v>
      </c>
      <c r="J884" s="129">
        <f t="shared" si="50"/>
        <v>0.031869084178661584</v>
      </c>
    </row>
    <row r="885" spans="1:10" s="61" customFormat="1" ht="12.75">
      <c r="A885" s="178">
        <f t="shared" si="48"/>
        <v>804</v>
      </c>
      <c r="B885" s="140"/>
      <c r="C885" s="80" t="s">
        <v>15</v>
      </c>
      <c r="D885" s="85"/>
      <c r="E885" s="84"/>
      <c r="F885" s="160"/>
      <c r="G885" s="160"/>
      <c r="H885" s="160"/>
      <c r="I885" s="199"/>
      <c r="J885" s="129"/>
    </row>
    <row r="886" spans="1:10" s="61" customFormat="1" ht="12.75">
      <c r="A886" s="178">
        <f t="shared" si="48"/>
        <v>805</v>
      </c>
      <c r="B886" s="140"/>
      <c r="C886" s="80" t="s">
        <v>241</v>
      </c>
      <c r="D886" s="85"/>
      <c r="E886" s="84"/>
      <c r="F886" s="160">
        <v>774000</v>
      </c>
      <c r="G886" s="160">
        <v>774000</v>
      </c>
      <c r="H886" s="160">
        <v>695711.5</v>
      </c>
      <c r="I886" s="199">
        <f t="shared" si="49"/>
        <v>0.8988520671834626</v>
      </c>
      <c r="J886" s="129">
        <f t="shared" si="50"/>
        <v>0.02189504209227243</v>
      </c>
    </row>
    <row r="887" spans="1:10" s="61" customFormat="1" ht="12.75">
      <c r="A887" s="178">
        <f t="shared" si="48"/>
        <v>806</v>
      </c>
      <c r="B887" s="140"/>
      <c r="C887" s="80" t="s">
        <v>238</v>
      </c>
      <c r="D887" s="85"/>
      <c r="E887" s="84"/>
      <c r="F887" s="160">
        <v>250000</v>
      </c>
      <c r="G887" s="160">
        <v>250000</v>
      </c>
      <c r="H887" s="160">
        <v>188391</v>
      </c>
      <c r="I887" s="199">
        <f t="shared" si="49"/>
        <v>0.753564</v>
      </c>
      <c r="J887" s="129">
        <f t="shared" si="50"/>
        <v>0.0059289358804695555</v>
      </c>
    </row>
    <row r="888" spans="1:10" s="61" customFormat="1" ht="12.75">
      <c r="A888" s="178">
        <f t="shared" si="48"/>
        <v>807</v>
      </c>
      <c r="B888" s="140"/>
      <c r="C888" s="80" t="s">
        <v>284</v>
      </c>
      <c r="D888" s="85"/>
      <c r="E888" s="84"/>
      <c r="F888" s="160">
        <v>200000</v>
      </c>
      <c r="G888" s="160">
        <v>140508.79</v>
      </c>
      <c r="H888" s="160">
        <v>128532.61</v>
      </c>
      <c r="I888" s="199">
        <f t="shared" si="49"/>
        <v>0.9147656171546278</v>
      </c>
      <c r="J888" s="129">
        <f t="shared" si="50"/>
        <v>0.004045106205919603</v>
      </c>
    </row>
    <row r="889" spans="1:10" s="61" customFormat="1" ht="12.75">
      <c r="A889" s="178">
        <f t="shared" si="48"/>
        <v>808</v>
      </c>
      <c r="B889" s="107">
        <v>4010</v>
      </c>
      <c r="C889" s="80" t="s">
        <v>27</v>
      </c>
      <c r="D889" s="85"/>
      <c r="E889" s="84"/>
      <c r="F889" s="160">
        <f>SUM(F891:F892)</f>
        <v>60000</v>
      </c>
      <c r="G889" s="160">
        <f>SUM(G891:G892)</f>
        <v>54405.4</v>
      </c>
      <c r="H889" s="160">
        <f>SUM(H891:H892)</f>
        <v>40971.58</v>
      </c>
      <c r="I889" s="199">
        <f t="shared" si="49"/>
        <v>0.7530792899234268</v>
      </c>
      <c r="J889" s="129">
        <f t="shared" si="50"/>
        <v>0.0012894345841443</v>
      </c>
    </row>
    <row r="890" spans="1:10" s="61" customFormat="1" ht="12.75">
      <c r="A890" s="178">
        <f t="shared" si="48"/>
        <v>809</v>
      </c>
      <c r="B890" s="107"/>
      <c r="C890" s="80" t="s">
        <v>15</v>
      </c>
      <c r="D890" s="85"/>
      <c r="E890" s="84"/>
      <c r="F890" s="160"/>
      <c r="G890" s="160"/>
      <c r="H890" s="160"/>
      <c r="I890" s="199"/>
      <c r="J890" s="129"/>
    </row>
    <row r="891" spans="1:10" s="61" customFormat="1" ht="12.75">
      <c r="A891" s="178">
        <f t="shared" si="48"/>
        <v>810</v>
      </c>
      <c r="B891" s="107"/>
      <c r="C891" s="80" t="s">
        <v>300</v>
      </c>
      <c r="D891" s="85"/>
      <c r="E891" s="84"/>
      <c r="F891" s="160">
        <v>27880</v>
      </c>
      <c r="G891" s="160">
        <v>22285.4</v>
      </c>
      <c r="H891" s="160">
        <v>22285.4</v>
      </c>
      <c r="I891" s="199">
        <f t="shared" si="49"/>
        <v>1</v>
      </c>
      <c r="J891" s="129">
        <f t="shared" si="50"/>
        <v>0.0007013536085620663</v>
      </c>
    </row>
    <row r="892" spans="1:10" s="61" customFormat="1" ht="12.75">
      <c r="A892" s="178">
        <f t="shared" si="48"/>
        <v>811</v>
      </c>
      <c r="B892" s="107"/>
      <c r="C892" s="80" t="s">
        <v>301</v>
      </c>
      <c r="D892" s="85"/>
      <c r="E892" s="84"/>
      <c r="F892" s="160">
        <f>60000-F891</f>
        <v>32120</v>
      </c>
      <c r="G892" s="160">
        <v>32120</v>
      </c>
      <c r="H892" s="160">
        <v>18686.18</v>
      </c>
      <c r="I892" s="199">
        <f t="shared" si="49"/>
        <v>0.5817615193026152</v>
      </c>
      <c r="J892" s="129">
        <f t="shared" si="50"/>
        <v>0.0005880809755822338</v>
      </c>
    </row>
    <row r="893" spans="1:10" s="61" customFormat="1" ht="12.75">
      <c r="A893" s="178">
        <f t="shared" si="48"/>
        <v>812</v>
      </c>
      <c r="B893" s="107">
        <v>4040</v>
      </c>
      <c r="C893" s="80" t="s">
        <v>303</v>
      </c>
      <c r="D893" s="85"/>
      <c r="E893" s="84"/>
      <c r="F893" s="160">
        <v>3100</v>
      </c>
      <c r="G893" s="160">
        <v>3021</v>
      </c>
      <c r="H893" s="160">
        <v>2878.9</v>
      </c>
      <c r="I893" s="199">
        <f t="shared" si="49"/>
        <v>0.9529625951671632</v>
      </c>
      <c r="J893" s="129">
        <f t="shared" si="50"/>
        <v>9.060312597886207E-05</v>
      </c>
    </row>
    <row r="894" spans="1:10" s="61" customFormat="1" ht="12.75">
      <c r="A894" s="178"/>
      <c r="B894" s="107"/>
      <c r="C894" s="80"/>
      <c r="D894" s="85"/>
      <c r="E894" s="84"/>
      <c r="F894" s="160"/>
      <c r="G894" s="160"/>
      <c r="H894" s="160"/>
      <c r="I894" s="199"/>
      <c r="J894" s="129"/>
    </row>
    <row r="895" spans="1:10" s="61" customFormat="1" ht="12.75">
      <c r="A895" s="178"/>
      <c r="B895" s="107"/>
      <c r="C895" s="80"/>
      <c r="D895" s="85"/>
      <c r="E895" s="84"/>
      <c r="F895" s="160"/>
      <c r="G895" s="160"/>
      <c r="H895" s="160"/>
      <c r="I895" s="199"/>
      <c r="J895" s="129"/>
    </row>
    <row r="896" spans="1:10" s="61" customFormat="1" ht="12.75">
      <c r="A896" s="178"/>
      <c r="B896" s="107"/>
      <c r="C896" s="80"/>
      <c r="D896" s="85"/>
      <c r="E896" s="84"/>
      <c r="F896" s="160"/>
      <c r="G896" s="160"/>
      <c r="H896" s="160"/>
      <c r="I896" s="199"/>
      <c r="J896" s="129"/>
    </row>
    <row r="897" spans="1:10" s="61" customFormat="1" ht="12.75">
      <c r="A897" s="178"/>
      <c r="B897" s="107"/>
      <c r="C897" s="80"/>
      <c r="D897" s="85"/>
      <c r="E897" s="84"/>
      <c r="F897" s="160"/>
      <c r="G897" s="160"/>
      <c r="H897" s="160"/>
      <c r="I897" s="199"/>
      <c r="J897" s="129"/>
    </row>
    <row r="898" spans="1:10" s="61" customFormat="1" ht="12.75">
      <c r="A898" s="178">
        <f>A893+1</f>
        <v>813</v>
      </c>
      <c r="B898" s="107">
        <v>4110</v>
      </c>
      <c r="C898" s="80" t="s">
        <v>239</v>
      </c>
      <c r="D898" s="85"/>
      <c r="E898" s="84"/>
      <c r="F898" s="160">
        <f>SUM(F900:F902)</f>
        <v>22010</v>
      </c>
      <c r="G898" s="160">
        <f>SUM(G900:G902)</f>
        <v>16163.26</v>
      </c>
      <c r="H898" s="160">
        <f>SUM(H900:H902)</f>
        <v>12123.09</v>
      </c>
      <c r="I898" s="199">
        <f t="shared" si="49"/>
        <v>0.7500399053161305</v>
      </c>
      <c r="J898" s="129">
        <f t="shared" si="50"/>
        <v>0.0003815310884445736</v>
      </c>
    </row>
    <row r="899" spans="1:10" s="61" customFormat="1" ht="12.75">
      <c r="A899" s="178">
        <f t="shared" si="48"/>
        <v>814</v>
      </c>
      <c r="B899" s="107"/>
      <c r="C899" s="80" t="s">
        <v>15</v>
      </c>
      <c r="D899" s="85"/>
      <c r="E899" s="84"/>
      <c r="F899" s="160"/>
      <c r="G899" s="160"/>
      <c r="H899" s="160"/>
      <c r="I899" s="199"/>
      <c r="J899" s="129"/>
    </row>
    <row r="900" spans="1:10" s="61" customFormat="1" ht="12.75">
      <c r="A900" s="178">
        <f aca="true" t="shared" si="51" ref="A900:A969">A899+1</f>
        <v>815</v>
      </c>
      <c r="B900" s="107"/>
      <c r="C900" s="108" t="s">
        <v>302</v>
      </c>
      <c r="D900" s="85"/>
      <c r="E900" s="84"/>
      <c r="F900" s="160">
        <v>11200</v>
      </c>
      <c r="G900" s="160">
        <v>11200</v>
      </c>
      <c r="H900" s="160">
        <v>7159.83</v>
      </c>
      <c r="I900" s="199">
        <f t="shared" si="49"/>
        <v>0.6392705357142857</v>
      </c>
      <c r="J900" s="129">
        <f t="shared" si="50"/>
        <v>0.00022533015369663272</v>
      </c>
    </row>
    <row r="901" spans="1:10" s="61" customFormat="1" ht="12.75">
      <c r="A901" s="178">
        <f t="shared" si="51"/>
        <v>816</v>
      </c>
      <c r="B901" s="107"/>
      <c r="C901" s="108" t="s">
        <v>317</v>
      </c>
      <c r="D901" s="85"/>
      <c r="E901" s="84"/>
      <c r="F901" s="160">
        <v>0</v>
      </c>
      <c r="G901" s="160">
        <v>0</v>
      </c>
      <c r="H901" s="160">
        <v>0</v>
      </c>
      <c r="I901" s="199"/>
      <c r="J901" s="129"/>
    </row>
    <row r="902" spans="1:10" s="61" customFormat="1" ht="12.75">
      <c r="A902" s="178">
        <f t="shared" si="51"/>
        <v>817</v>
      </c>
      <c r="B902" s="107"/>
      <c r="C902" s="80" t="s">
        <v>240</v>
      </c>
      <c r="D902" s="85"/>
      <c r="E902" s="84"/>
      <c r="F902" s="160">
        <v>10810</v>
      </c>
      <c r="G902" s="160">
        <v>4963.26</v>
      </c>
      <c r="H902" s="160">
        <v>4963.26</v>
      </c>
      <c r="I902" s="199">
        <f t="shared" si="49"/>
        <v>1</v>
      </c>
      <c r="J902" s="129">
        <f t="shared" si="50"/>
        <v>0.00015620093474794086</v>
      </c>
    </row>
    <row r="903" spans="1:10" s="61" customFormat="1" ht="12.75">
      <c r="A903" s="178">
        <f t="shared" si="51"/>
        <v>818</v>
      </c>
      <c r="B903" s="107">
        <v>4120</v>
      </c>
      <c r="C903" s="80" t="s">
        <v>320</v>
      </c>
      <c r="D903" s="85"/>
      <c r="E903" s="84"/>
      <c r="F903" s="160">
        <f>SUM(F905:F906)</f>
        <v>1600</v>
      </c>
      <c r="G903" s="160">
        <f>SUM(G905:G906)</f>
        <v>1600</v>
      </c>
      <c r="H903" s="160">
        <f>SUM(H905:H906)</f>
        <v>989.36</v>
      </c>
      <c r="I903" s="199">
        <f t="shared" si="49"/>
        <v>0.61835</v>
      </c>
      <c r="J903" s="129">
        <f t="shared" si="50"/>
        <v>3.1136582972123715E-05</v>
      </c>
    </row>
    <row r="904" spans="1:10" s="61" customFormat="1" ht="12.75">
      <c r="A904" s="178">
        <f t="shared" si="51"/>
        <v>819</v>
      </c>
      <c r="B904" s="107"/>
      <c r="C904" s="80" t="s">
        <v>15</v>
      </c>
      <c r="D904" s="85"/>
      <c r="E904" s="84"/>
      <c r="F904" s="160"/>
      <c r="G904" s="160"/>
      <c r="H904" s="160"/>
      <c r="I904" s="199"/>
      <c r="J904" s="129"/>
    </row>
    <row r="905" spans="1:10" s="61" customFormat="1" ht="12.75">
      <c r="A905" s="178">
        <f t="shared" si="51"/>
        <v>820</v>
      </c>
      <c r="B905" s="107"/>
      <c r="C905" s="80" t="s">
        <v>318</v>
      </c>
      <c r="D905" s="85"/>
      <c r="E905" s="84"/>
      <c r="F905" s="160">
        <v>1600</v>
      </c>
      <c r="G905" s="160">
        <v>1600</v>
      </c>
      <c r="H905" s="160">
        <v>989.36</v>
      </c>
      <c r="I905" s="199">
        <f t="shared" si="49"/>
        <v>0.61835</v>
      </c>
      <c r="J905" s="129">
        <f t="shared" si="50"/>
        <v>3.1136582972123715E-05</v>
      </c>
    </row>
    <row r="906" spans="1:10" s="61" customFormat="1" ht="12.75">
      <c r="A906" s="178">
        <f t="shared" si="51"/>
        <v>821</v>
      </c>
      <c r="B906" s="107"/>
      <c r="C906" s="80" t="s">
        <v>319</v>
      </c>
      <c r="D906" s="85"/>
      <c r="E906" s="84"/>
      <c r="F906" s="160">
        <v>0</v>
      </c>
      <c r="G906" s="160">
        <v>0</v>
      </c>
      <c r="H906" s="160">
        <v>0</v>
      </c>
      <c r="I906" s="199"/>
      <c r="J906" s="129">
        <f t="shared" si="50"/>
        <v>0</v>
      </c>
    </row>
    <row r="907" spans="1:10" s="61" customFormat="1" ht="12.75">
      <c r="A907" s="178">
        <f t="shared" si="51"/>
        <v>822</v>
      </c>
      <c r="B907" s="107">
        <v>4210</v>
      </c>
      <c r="C907" s="80" t="s">
        <v>153</v>
      </c>
      <c r="D907" s="85"/>
      <c r="E907" s="84"/>
      <c r="F907" s="160">
        <f>SUM(F909:F910)</f>
        <v>3000</v>
      </c>
      <c r="G907" s="160">
        <f>SUM(G909:G910)</f>
        <v>12332.470000000001</v>
      </c>
      <c r="H907" s="160">
        <f>SUM(H909:H910)</f>
        <v>10886.64</v>
      </c>
      <c r="I907" s="199">
        <f>H907/G907</f>
        <v>0.8827623339039137</v>
      </c>
      <c r="J907" s="129">
        <f>H907/H$54</f>
        <v>0.0003426182275891899</v>
      </c>
    </row>
    <row r="908" spans="1:10" s="61" customFormat="1" ht="12.75">
      <c r="A908" s="178">
        <f t="shared" si="51"/>
        <v>823</v>
      </c>
      <c r="B908" s="107"/>
      <c r="C908" s="80" t="s">
        <v>15</v>
      </c>
      <c r="D908" s="85"/>
      <c r="E908" s="84"/>
      <c r="F908" s="160"/>
      <c r="G908" s="160"/>
      <c r="H908" s="160"/>
      <c r="I908" s="199"/>
      <c r="J908" s="129"/>
    </row>
    <row r="909" spans="1:10" s="61" customFormat="1" ht="12.75">
      <c r="A909" s="178">
        <f t="shared" si="51"/>
        <v>824</v>
      </c>
      <c r="B909" s="107"/>
      <c r="C909" s="80" t="s">
        <v>55</v>
      </c>
      <c r="D909" s="85"/>
      <c r="E909" s="84"/>
      <c r="F909" s="160">
        <v>3000</v>
      </c>
      <c r="G909" s="160">
        <v>4332.47</v>
      </c>
      <c r="H909" s="160">
        <v>4332.47</v>
      </c>
      <c r="I909" s="199">
        <f>H909/G909</f>
        <v>1</v>
      </c>
      <c r="J909" s="129">
        <f>H909/H$54</f>
        <v>0.00013634906568815887</v>
      </c>
    </row>
    <row r="910" spans="1:10" s="61" customFormat="1" ht="12.75">
      <c r="A910" s="178">
        <f t="shared" si="51"/>
        <v>825</v>
      </c>
      <c r="B910" s="107"/>
      <c r="C910" s="80" t="s">
        <v>56</v>
      </c>
      <c r="D910" s="85"/>
      <c r="E910" s="84"/>
      <c r="F910" s="160">
        <v>0</v>
      </c>
      <c r="G910" s="160">
        <v>8000</v>
      </c>
      <c r="H910" s="160">
        <v>6554.17</v>
      </c>
      <c r="I910" s="199">
        <f>H910/G910</f>
        <v>0.81927125</v>
      </c>
      <c r="J910" s="129">
        <f>H910/H$54</f>
        <v>0.00020626916190103107</v>
      </c>
    </row>
    <row r="911" spans="1:10" s="61" customFormat="1" ht="12.75">
      <c r="A911" s="178">
        <f t="shared" si="51"/>
        <v>826</v>
      </c>
      <c r="B911" s="107">
        <v>4300</v>
      </c>
      <c r="C911" s="80" t="s">
        <v>321</v>
      </c>
      <c r="D911" s="85"/>
      <c r="E911" s="84"/>
      <c r="F911" s="160">
        <v>7310</v>
      </c>
      <c r="G911" s="160">
        <v>3910.08</v>
      </c>
      <c r="H911" s="160">
        <v>3910.08</v>
      </c>
      <c r="I911" s="199">
        <f t="shared" si="49"/>
        <v>1</v>
      </c>
      <c r="J911" s="129">
        <f t="shared" si="50"/>
        <v>0.00012305584453347772</v>
      </c>
    </row>
    <row r="912" spans="1:10" s="61" customFormat="1" ht="12.75">
      <c r="A912" s="178">
        <f t="shared" si="51"/>
        <v>827</v>
      </c>
      <c r="B912" s="107">
        <v>4370</v>
      </c>
      <c r="C912" s="80" t="s">
        <v>368</v>
      </c>
      <c r="D912" s="85"/>
      <c r="E912" s="84"/>
      <c r="F912" s="160"/>
      <c r="G912" s="160"/>
      <c r="H912" s="160"/>
      <c r="I912" s="199"/>
      <c r="J912" s="129"/>
    </row>
    <row r="913" spans="1:10" s="61" customFormat="1" ht="12.75">
      <c r="A913" s="178">
        <f t="shared" si="51"/>
        <v>828</v>
      </c>
      <c r="B913" s="107"/>
      <c r="C913" s="80" t="s">
        <v>435</v>
      </c>
      <c r="D913" s="85"/>
      <c r="E913" s="84"/>
      <c r="F913" s="160">
        <v>3000</v>
      </c>
      <c r="G913" s="160">
        <v>3000</v>
      </c>
      <c r="H913" s="160">
        <v>1880.3</v>
      </c>
      <c r="I913" s="199">
        <f aca="true" t="shared" si="52" ref="I913:I978">H913/G913</f>
        <v>0.6267666666666667</v>
      </c>
      <c r="J913" s="129">
        <f t="shared" si="50"/>
        <v>5.917574690960239E-05</v>
      </c>
    </row>
    <row r="914" spans="1:10" s="61" customFormat="1" ht="12.75">
      <c r="A914" s="178">
        <f t="shared" si="51"/>
        <v>829</v>
      </c>
      <c r="B914" s="107">
        <v>4400</v>
      </c>
      <c r="C914" s="108" t="s">
        <v>548</v>
      </c>
      <c r="D914" s="85"/>
      <c r="E914" s="84"/>
      <c r="F914" s="160"/>
      <c r="G914" s="160"/>
      <c r="H914" s="160"/>
      <c r="I914" s="199"/>
      <c r="J914" s="129">
        <f t="shared" si="50"/>
        <v>0</v>
      </c>
    </row>
    <row r="915" spans="1:10" s="61" customFormat="1" ht="12.75">
      <c r="A915" s="178">
        <f t="shared" si="51"/>
        <v>830</v>
      </c>
      <c r="B915" s="107"/>
      <c r="C915" s="108" t="s">
        <v>547</v>
      </c>
      <c r="D915" s="85"/>
      <c r="E915" s="84"/>
      <c r="F915" s="160">
        <v>18000</v>
      </c>
      <c r="G915" s="160">
        <v>18000</v>
      </c>
      <c r="H915" s="160">
        <v>15056.56</v>
      </c>
      <c r="I915" s="199">
        <f t="shared" si="52"/>
        <v>0.8364755555555555</v>
      </c>
      <c r="J915" s="129">
        <f t="shared" si="50"/>
        <v>0.0004738516108542483</v>
      </c>
    </row>
    <row r="916" spans="1:10" s="61" customFormat="1" ht="12.75">
      <c r="A916" s="178">
        <f t="shared" si="51"/>
        <v>831</v>
      </c>
      <c r="B916" s="107">
        <v>4440</v>
      </c>
      <c r="C916" s="108" t="s">
        <v>46</v>
      </c>
      <c r="D916" s="85"/>
      <c r="E916" s="84"/>
      <c r="F916" s="160">
        <v>1531</v>
      </c>
      <c r="G916" s="160">
        <v>1610</v>
      </c>
      <c r="H916" s="160">
        <v>1610</v>
      </c>
      <c r="I916" s="199">
        <f t="shared" si="52"/>
        <v>1</v>
      </c>
      <c r="J916" s="129">
        <f t="shared" si="50"/>
        <v>5.066901692520335E-05</v>
      </c>
    </row>
    <row r="917" spans="1:10" s="61" customFormat="1" ht="12.75">
      <c r="A917" s="178">
        <f t="shared" si="51"/>
        <v>832</v>
      </c>
      <c r="B917" s="107">
        <v>4740</v>
      </c>
      <c r="C917" s="108" t="s">
        <v>395</v>
      </c>
      <c r="D917" s="85"/>
      <c r="E917" s="84"/>
      <c r="F917" s="160"/>
      <c r="G917" s="160"/>
      <c r="H917" s="160"/>
      <c r="I917" s="199"/>
      <c r="J917" s="129"/>
    </row>
    <row r="918" spans="1:10" s="61" customFormat="1" ht="12.75">
      <c r="A918" s="178">
        <f t="shared" si="51"/>
        <v>833</v>
      </c>
      <c r="B918" s="107"/>
      <c r="C918" s="108" t="s">
        <v>436</v>
      </c>
      <c r="D918" s="85"/>
      <c r="E918" s="84"/>
      <c r="F918" s="160">
        <v>5000</v>
      </c>
      <c r="G918" s="160">
        <v>2000</v>
      </c>
      <c r="H918" s="160">
        <v>867.83</v>
      </c>
      <c r="I918" s="199">
        <f t="shared" si="52"/>
        <v>0.433915</v>
      </c>
      <c r="J918" s="129">
        <f t="shared" si="50"/>
        <v>2.7311858980247964E-05</v>
      </c>
    </row>
    <row r="919" spans="1:10" s="61" customFormat="1" ht="12.75">
      <c r="A919" s="178">
        <f t="shared" si="51"/>
        <v>834</v>
      </c>
      <c r="B919" s="107">
        <v>4750</v>
      </c>
      <c r="C919" s="80" t="s">
        <v>356</v>
      </c>
      <c r="D919" s="85"/>
      <c r="E919" s="84"/>
      <c r="F919" s="160"/>
      <c r="G919" s="160"/>
      <c r="H919" s="160"/>
      <c r="I919" s="199"/>
      <c r="J919" s="129"/>
    </row>
    <row r="920" spans="1:10" s="61" customFormat="1" ht="12.75">
      <c r="A920" s="178">
        <f t="shared" si="51"/>
        <v>835</v>
      </c>
      <c r="B920" s="107"/>
      <c r="C920" s="80" t="s">
        <v>437</v>
      </c>
      <c r="D920" s="85"/>
      <c r="E920" s="84"/>
      <c r="F920" s="160">
        <v>1500</v>
      </c>
      <c r="G920" s="160">
        <v>3500</v>
      </c>
      <c r="H920" s="160">
        <v>3198.1</v>
      </c>
      <c r="I920" s="199">
        <f t="shared" si="52"/>
        <v>0.9137428571428571</v>
      </c>
      <c r="J920" s="129">
        <f t="shared" si="50"/>
        <v>0.0001006488093344676</v>
      </c>
    </row>
    <row r="921" spans="1:10" ht="12.75">
      <c r="A921" s="178">
        <f t="shared" si="51"/>
        <v>836</v>
      </c>
      <c r="B921" s="63">
        <v>85213</v>
      </c>
      <c r="C921" s="69" t="s">
        <v>207</v>
      </c>
      <c r="D921" s="25"/>
      <c r="E921" s="47"/>
      <c r="F921" s="154"/>
      <c r="G921" s="154"/>
      <c r="H921" s="154"/>
      <c r="I921" s="199"/>
      <c r="J921" s="129"/>
    </row>
    <row r="922" spans="1:10" ht="12.75">
      <c r="A922" s="178">
        <f t="shared" si="51"/>
        <v>837</v>
      </c>
      <c r="B922" s="70"/>
      <c r="C922" s="69" t="s">
        <v>208</v>
      </c>
      <c r="D922" s="25"/>
      <c r="E922" s="47"/>
      <c r="F922" s="154"/>
      <c r="G922" s="154"/>
      <c r="H922" s="154"/>
      <c r="I922" s="199"/>
      <c r="J922" s="129"/>
    </row>
    <row r="923" spans="1:10" ht="12.75">
      <c r="A923" s="178">
        <f t="shared" si="51"/>
        <v>838</v>
      </c>
      <c r="B923" s="70"/>
      <c r="C923" s="69" t="s">
        <v>255</v>
      </c>
      <c r="D923" s="25"/>
      <c r="E923" s="47"/>
      <c r="F923" s="154"/>
      <c r="G923" s="154"/>
      <c r="H923" s="154"/>
      <c r="I923" s="199"/>
      <c r="J923" s="129"/>
    </row>
    <row r="924" spans="1:10" ht="12.75">
      <c r="A924" s="178">
        <f t="shared" si="51"/>
        <v>839</v>
      </c>
      <c r="B924" s="70"/>
      <c r="C924" s="69" t="s">
        <v>256</v>
      </c>
      <c r="D924" s="25"/>
      <c r="E924" s="47"/>
      <c r="F924" s="164">
        <f>F925</f>
        <v>12000</v>
      </c>
      <c r="G924" s="164">
        <f>G925</f>
        <v>13000</v>
      </c>
      <c r="H924" s="164">
        <f>H925</f>
        <v>11893.93</v>
      </c>
      <c r="I924" s="199">
        <f t="shared" si="52"/>
        <v>0.9149176923076924</v>
      </c>
      <c r="J924" s="129">
        <f aca="true" t="shared" si="53" ref="J924:J936">H924/H$54</f>
        <v>0.00037431909346408935</v>
      </c>
    </row>
    <row r="925" spans="1:10" ht="12.75">
      <c r="A925" s="178">
        <f t="shared" si="51"/>
        <v>840</v>
      </c>
      <c r="B925" s="107">
        <v>4130</v>
      </c>
      <c r="C925" s="80" t="s">
        <v>209</v>
      </c>
      <c r="D925" s="25"/>
      <c r="E925" s="47"/>
      <c r="F925" s="154">
        <v>12000</v>
      </c>
      <c r="G925" s="154">
        <v>13000</v>
      </c>
      <c r="H925" s="154">
        <v>11893.93</v>
      </c>
      <c r="I925" s="199">
        <f t="shared" si="52"/>
        <v>0.9149176923076924</v>
      </c>
      <c r="J925" s="129">
        <f t="shared" si="53"/>
        <v>0.00037431909346408935</v>
      </c>
    </row>
    <row r="926" spans="1:10" ht="12.75">
      <c r="A926" s="178">
        <f t="shared" si="51"/>
        <v>841</v>
      </c>
      <c r="B926" s="11">
        <v>85214</v>
      </c>
      <c r="C926" s="69" t="s">
        <v>128</v>
      </c>
      <c r="D926" s="25"/>
      <c r="E926" s="47"/>
      <c r="F926" s="154"/>
      <c r="G926" s="154"/>
      <c r="H926" s="154"/>
      <c r="I926" s="199"/>
      <c r="J926" s="129"/>
    </row>
    <row r="927" spans="1:10" ht="12.75">
      <c r="A927" s="178">
        <f t="shared" si="51"/>
        <v>842</v>
      </c>
      <c r="B927" s="11"/>
      <c r="C927" s="69" t="s">
        <v>215</v>
      </c>
      <c r="D927" s="25"/>
      <c r="E927" s="47"/>
      <c r="F927" s="164">
        <f>F928+F933+F939</f>
        <v>415500</v>
      </c>
      <c r="G927" s="164">
        <f>G928+G933+G939</f>
        <v>404565</v>
      </c>
      <c r="H927" s="164">
        <f>H928+H933+H939</f>
        <v>356575.01999999996</v>
      </c>
      <c r="I927" s="199">
        <f t="shared" si="52"/>
        <v>0.8813788142820065</v>
      </c>
      <c r="J927" s="129">
        <f t="shared" si="53"/>
        <v>0.011221929020797963</v>
      </c>
    </row>
    <row r="928" spans="1:10" ht="12.75">
      <c r="A928" s="178">
        <f t="shared" si="51"/>
        <v>843</v>
      </c>
      <c r="B928" s="4">
        <v>3110</v>
      </c>
      <c r="C928" s="80" t="s">
        <v>54</v>
      </c>
      <c r="D928" s="25"/>
      <c r="E928" s="47"/>
      <c r="F928" s="154">
        <f>SUM(F930:F932)</f>
        <v>398000</v>
      </c>
      <c r="G928" s="154">
        <f>SUM(G930:G932)</f>
        <v>384065</v>
      </c>
      <c r="H928" s="154">
        <f>SUM(H930:H932)</f>
        <v>338594.41</v>
      </c>
      <c r="I928" s="199">
        <f t="shared" si="52"/>
        <v>0.8816070456823714</v>
      </c>
      <c r="J928" s="129">
        <f t="shared" si="53"/>
        <v>0.010656053348490211</v>
      </c>
    </row>
    <row r="929" spans="1:10" ht="12.75">
      <c r="A929" s="178">
        <f t="shared" si="51"/>
        <v>844</v>
      </c>
      <c r="B929" s="4"/>
      <c r="C929" s="80" t="s">
        <v>15</v>
      </c>
      <c r="D929" s="25"/>
      <c r="E929" s="47"/>
      <c r="F929" s="154"/>
      <c r="G929" s="154"/>
      <c r="H929" s="154"/>
      <c r="I929" s="199"/>
      <c r="J929" s="129"/>
    </row>
    <row r="930" spans="1:10" ht="12.75">
      <c r="A930" s="178">
        <f t="shared" si="51"/>
        <v>845</v>
      </c>
      <c r="B930" s="4"/>
      <c r="C930" s="80" t="s">
        <v>55</v>
      </c>
      <c r="D930" s="25"/>
      <c r="E930" s="47"/>
      <c r="F930" s="154">
        <v>116000</v>
      </c>
      <c r="G930" s="154">
        <v>134065</v>
      </c>
      <c r="H930" s="154">
        <v>132266.33</v>
      </c>
      <c r="I930" s="199">
        <f t="shared" si="52"/>
        <v>0.9865835975086711</v>
      </c>
      <c r="J930" s="129">
        <f t="shared" si="53"/>
        <v>0.004162611747456231</v>
      </c>
    </row>
    <row r="931" spans="1:10" ht="12.75">
      <c r="A931" s="178">
        <f t="shared" si="51"/>
        <v>846</v>
      </c>
      <c r="B931" s="4"/>
      <c r="C931" s="80" t="s">
        <v>56</v>
      </c>
      <c r="D931" s="25"/>
      <c r="E931" s="47"/>
      <c r="F931" s="154">
        <v>145000</v>
      </c>
      <c r="G931" s="154">
        <v>125000</v>
      </c>
      <c r="H931" s="154">
        <v>120896.6</v>
      </c>
      <c r="I931" s="199">
        <f t="shared" si="52"/>
        <v>0.9671728</v>
      </c>
      <c r="J931" s="129">
        <f t="shared" si="53"/>
        <v>0.0038047899823599623</v>
      </c>
    </row>
    <row r="932" spans="1:10" ht="12.75">
      <c r="A932" s="178">
        <f t="shared" si="51"/>
        <v>847</v>
      </c>
      <c r="B932" s="4"/>
      <c r="C932" s="80" t="s">
        <v>253</v>
      </c>
      <c r="D932" s="25"/>
      <c r="E932" s="47"/>
      <c r="F932" s="154">
        <v>137000</v>
      </c>
      <c r="G932" s="154">
        <v>125000</v>
      </c>
      <c r="H932" s="154">
        <v>85431.48</v>
      </c>
      <c r="I932" s="199">
        <f t="shared" si="52"/>
        <v>0.6834518399999999</v>
      </c>
      <c r="J932" s="129">
        <f t="shared" si="53"/>
        <v>0.0026886516186740194</v>
      </c>
    </row>
    <row r="933" spans="1:10" ht="12.75">
      <c r="A933" s="178">
        <f t="shared" si="51"/>
        <v>848</v>
      </c>
      <c r="B933" s="4">
        <v>4110</v>
      </c>
      <c r="C933" s="80" t="s">
        <v>32</v>
      </c>
      <c r="D933" s="25"/>
      <c r="E933" s="47"/>
      <c r="F933" s="154">
        <f>SUM(F935:F936)</f>
        <v>2500</v>
      </c>
      <c r="G933" s="154">
        <f>SUM(G935:G936)</f>
        <v>2500</v>
      </c>
      <c r="H933" s="154">
        <f>SUM(H935:H936)</f>
        <v>1306.62</v>
      </c>
      <c r="I933" s="199">
        <f t="shared" si="52"/>
        <v>0.522648</v>
      </c>
      <c r="J933" s="129">
        <f t="shared" si="53"/>
        <v>4.112121173590633E-05</v>
      </c>
    </row>
    <row r="934" spans="1:10" ht="12.75">
      <c r="A934" s="178">
        <f t="shared" si="51"/>
        <v>849</v>
      </c>
      <c r="B934" s="4"/>
      <c r="C934" s="80" t="s">
        <v>15</v>
      </c>
      <c r="D934" s="25"/>
      <c r="E934" s="47"/>
      <c r="F934" s="154"/>
      <c r="G934" s="154"/>
      <c r="H934" s="154"/>
      <c r="I934" s="199"/>
      <c r="J934" s="129"/>
    </row>
    <row r="935" spans="1:10" ht="12.75">
      <c r="A935" s="178">
        <f t="shared" si="51"/>
        <v>850</v>
      </c>
      <c r="B935" s="4"/>
      <c r="C935" s="80" t="s">
        <v>55</v>
      </c>
      <c r="D935" s="25"/>
      <c r="E935" s="47"/>
      <c r="F935" s="154">
        <v>1000</v>
      </c>
      <c r="G935" s="154">
        <v>1000</v>
      </c>
      <c r="H935" s="154">
        <v>0</v>
      </c>
      <c r="I935" s="199">
        <f t="shared" si="52"/>
        <v>0</v>
      </c>
      <c r="J935" s="129">
        <f t="shared" si="53"/>
        <v>0</v>
      </c>
    </row>
    <row r="936" spans="1:10" ht="12.75">
      <c r="A936" s="178">
        <f t="shared" si="51"/>
        <v>851</v>
      </c>
      <c r="B936" s="4"/>
      <c r="C936" s="80" t="s">
        <v>56</v>
      </c>
      <c r="D936" s="25"/>
      <c r="E936" s="47"/>
      <c r="F936" s="154">
        <v>1500</v>
      </c>
      <c r="G936" s="154">
        <v>1500</v>
      </c>
      <c r="H936" s="154">
        <v>1306.62</v>
      </c>
      <c r="I936" s="199">
        <f t="shared" si="52"/>
        <v>0.87108</v>
      </c>
      <c r="J936" s="129">
        <f t="shared" si="53"/>
        <v>4.112121173590633E-05</v>
      </c>
    </row>
    <row r="937" spans="1:10" ht="12.75">
      <c r="A937" s="178">
        <f t="shared" si="51"/>
        <v>852</v>
      </c>
      <c r="B937" s="4">
        <v>4330</v>
      </c>
      <c r="C937" s="80" t="s">
        <v>262</v>
      </c>
      <c r="D937" s="25"/>
      <c r="E937" s="47"/>
      <c r="F937" s="154"/>
      <c r="G937" s="154"/>
      <c r="H937" s="154"/>
      <c r="I937" s="199"/>
      <c r="J937" s="129"/>
    </row>
    <row r="938" spans="1:10" ht="12.75">
      <c r="A938" s="178">
        <f t="shared" si="51"/>
        <v>853</v>
      </c>
      <c r="B938" s="4"/>
      <c r="C938" s="80" t="s">
        <v>263</v>
      </c>
      <c r="D938" s="25"/>
      <c r="E938" s="47"/>
      <c r="F938" s="154"/>
      <c r="G938" s="154"/>
      <c r="H938" s="154"/>
      <c r="I938" s="199"/>
      <c r="J938" s="129"/>
    </row>
    <row r="939" spans="1:10" ht="12.75">
      <c r="A939" s="178">
        <f t="shared" si="51"/>
        <v>854</v>
      </c>
      <c r="B939" s="4"/>
      <c r="C939" s="80" t="s">
        <v>264</v>
      </c>
      <c r="D939" s="25"/>
      <c r="E939" s="47"/>
      <c r="F939" s="154">
        <v>15000</v>
      </c>
      <c r="G939" s="154">
        <v>18000</v>
      </c>
      <c r="H939" s="154">
        <v>16673.99</v>
      </c>
      <c r="I939" s="199">
        <f t="shared" si="52"/>
        <v>0.9263327777777779</v>
      </c>
      <c r="J939" s="129">
        <f aca="true" t="shared" si="54" ref="J939:J1017">H939/H$54</f>
        <v>0.0005247544605718456</v>
      </c>
    </row>
    <row r="940" spans="1:10" ht="12.75">
      <c r="A940" s="178">
        <f t="shared" si="51"/>
        <v>855</v>
      </c>
      <c r="B940" s="11">
        <v>85215</v>
      </c>
      <c r="C940" s="69" t="s">
        <v>63</v>
      </c>
      <c r="D940" s="25"/>
      <c r="E940" s="47"/>
      <c r="F940" s="164">
        <f>F941</f>
        <v>200000</v>
      </c>
      <c r="G940" s="164">
        <f>G941</f>
        <v>198000</v>
      </c>
      <c r="H940" s="164">
        <f>H941</f>
        <v>137594.69</v>
      </c>
      <c r="I940" s="199">
        <f t="shared" si="52"/>
        <v>0.6949226767676768</v>
      </c>
      <c r="J940" s="129">
        <f t="shared" si="54"/>
        <v>0.004330302904613731</v>
      </c>
    </row>
    <row r="941" spans="1:10" ht="12.75">
      <c r="A941" s="178">
        <f t="shared" si="51"/>
        <v>856</v>
      </c>
      <c r="B941" s="4">
        <v>3110</v>
      </c>
      <c r="C941" s="80" t="s">
        <v>54</v>
      </c>
      <c r="D941" s="25"/>
      <c r="E941" s="47"/>
      <c r="F941" s="160">
        <v>200000</v>
      </c>
      <c r="G941" s="160">
        <v>198000</v>
      </c>
      <c r="H941" s="160">
        <v>137594.69</v>
      </c>
      <c r="I941" s="199">
        <f t="shared" si="52"/>
        <v>0.6949226767676768</v>
      </c>
      <c r="J941" s="129">
        <f t="shared" si="54"/>
        <v>0.004330302904613731</v>
      </c>
    </row>
    <row r="942" spans="1:10" ht="12.75">
      <c r="A942" s="178">
        <f t="shared" si="51"/>
        <v>857</v>
      </c>
      <c r="B942" s="63">
        <v>85219</v>
      </c>
      <c r="C942" s="69" t="s">
        <v>129</v>
      </c>
      <c r="D942" s="25"/>
      <c r="E942" s="47"/>
      <c r="F942" s="164">
        <f>F943+F947+F948+F949+F950+F951+F952+F956+F957+F958+F960+F962+F964+F965+F966+F967+F969+F971+F973+F974</f>
        <v>566840</v>
      </c>
      <c r="G942" s="164">
        <f>G943+G947+G948+G949+G950+G951+G952+G956+G957+G958+G960+G962+G964+G965+G966+G967+G969+G971+G973+G974</f>
        <v>592140</v>
      </c>
      <c r="H942" s="164">
        <f>H943+H947+H948+H949+H950+H951+H952+H956+H957+H958+H960+H962+H964+H965+H966+H967+H969+H971+H973+H974</f>
        <v>555846.66</v>
      </c>
      <c r="I942" s="199">
        <f t="shared" si="52"/>
        <v>0.9387081771202757</v>
      </c>
      <c r="J942" s="129">
        <f t="shared" si="54"/>
        <v>0.017493294300222208</v>
      </c>
    </row>
    <row r="943" spans="1:10" ht="12.75">
      <c r="A943" s="178">
        <f t="shared" si="51"/>
        <v>858</v>
      </c>
      <c r="B943" s="4">
        <v>3020</v>
      </c>
      <c r="C943" s="80" t="s">
        <v>266</v>
      </c>
      <c r="D943" s="25"/>
      <c r="E943" s="47"/>
      <c r="F943" s="154">
        <f>SUM(F945:F946)</f>
        <v>5000</v>
      </c>
      <c r="G943" s="154">
        <f>SUM(G945:G946)</f>
        <v>5000</v>
      </c>
      <c r="H943" s="154">
        <f>SUM(H945:H946)</f>
        <v>1835.83</v>
      </c>
      <c r="I943" s="199">
        <f t="shared" si="52"/>
        <v>0.367166</v>
      </c>
      <c r="J943" s="129">
        <f t="shared" si="54"/>
        <v>5.777621201353793E-05</v>
      </c>
    </row>
    <row r="944" spans="1:10" ht="12.75">
      <c r="A944" s="178">
        <f t="shared" si="51"/>
        <v>859</v>
      </c>
      <c r="B944" s="4"/>
      <c r="C944" s="80" t="s">
        <v>15</v>
      </c>
      <c r="D944" s="25"/>
      <c r="E944" s="47"/>
      <c r="F944" s="154"/>
      <c r="G944" s="154"/>
      <c r="H944" s="154"/>
      <c r="I944" s="199"/>
      <c r="J944" s="129"/>
    </row>
    <row r="945" spans="1:10" ht="12.75">
      <c r="A945" s="178">
        <f t="shared" si="51"/>
        <v>860</v>
      </c>
      <c r="B945" s="4"/>
      <c r="C945" s="80" t="s">
        <v>308</v>
      </c>
      <c r="D945" s="25"/>
      <c r="E945" s="47"/>
      <c r="F945" s="154">
        <v>3000</v>
      </c>
      <c r="G945" s="154">
        <v>3000</v>
      </c>
      <c r="H945" s="154">
        <v>1835.83</v>
      </c>
      <c r="I945" s="199">
        <f t="shared" si="52"/>
        <v>0.6119433333333333</v>
      </c>
      <c r="J945" s="129">
        <f t="shared" si="54"/>
        <v>5.777621201353793E-05</v>
      </c>
    </row>
    <row r="946" spans="1:10" ht="12.75">
      <c r="A946" s="178">
        <f t="shared" si="51"/>
        <v>861</v>
      </c>
      <c r="B946" s="4"/>
      <c r="C946" s="80" t="s">
        <v>101</v>
      </c>
      <c r="D946" s="25"/>
      <c r="E946" s="47"/>
      <c r="F946" s="154">
        <v>2000</v>
      </c>
      <c r="G946" s="154">
        <v>2000</v>
      </c>
      <c r="H946" s="154">
        <v>0</v>
      </c>
      <c r="I946" s="199">
        <f t="shared" si="52"/>
        <v>0</v>
      </c>
      <c r="J946" s="129">
        <f t="shared" si="54"/>
        <v>0</v>
      </c>
    </row>
    <row r="947" spans="1:10" ht="12.75">
      <c r="A947" s="178">
        <f t="shared" si="51"/>
        <v>862</v>
      </c>
      <c r="B947" s="4">
        <v>4010</v>
      </c>
      <c r="C947" s="80" t="s">
        <v>27</v>
      </c>
      <c r="D947" s="25"/>
      <c r="E947" s="47"/>
      <c r="F947" s="154">
        <v>330400</v>
      </c>
      <c r="G947" s="154">
        <v>353400</v>
      </c>
      <c r="H947" s="154">
        <v>335867.75</v>
      </c>
      <c r="I947" s="199">
        <f t="shared" si="52"/>
        <v>0.9503897849462366</v>
      </c>
      <c r="J947" s="129">
        <f t="shared" si="54"/>
        <v>0.010570241434397495</v>
      </c>
    </row>
    <row r="948" spans="1:10" ht="12.75">
      <c r="A948" s="178">
        <f t="shared" si="51"/>
        <v>863</v>
      </c>
      <c r="B948" s="4">
        <v>4040</v>
      </c>
      <c r="C948" s="80" t="s">
        <v>28</v>
      </c>
      <c r="D948" s="25"/>
      <c r="E948" s="47"/>
      <c r="F948" s="154">
        <v>26200</v>
      </c>
      <c r="G948" s="154">
        <v>23913</v>
      </c>
      <c r="H948" s="154">
        <v>23860.42</v>
      </c>
      <c r="I948" s="199">
        <f t="shared" si="52"/>
        <v>0.9978011960021744</v>
      </c>
      <c r="J948" s="129">
        <f t="shared" si="54"/>
        <v>0.000750921754548112</v>
      </c>
    </row>
    <row r="949" spans="1:10" ht="12.75">
      <c r="A949" s="178">
        <f t="shared" si="51"/>
        <v>864</v>
      </c>
      <c r="B949" s="4">
        <v>4110</v>
      </c>
      <c r="C949" s="80" t="s">
        <v>61</v>
      </c>
      <c r="D949" s="25"/>
      <c r="E949" s="47"/>
      <c r="F949" s="154">
        <v>62400</v>
      </c>
      <c r="G949" s="154">
        <v>65400</v>
      </c>
      <c r="H949" s="154">
        <v>62603.11</v>
      </c>
      <c r="I949" s="199">
        <f t="shared" si="52"/>
        <v>0.9572340978593272</v>
      </c>
      <c r="J949" s="129">
        <f t="shared" si="54"/>
        <v>0.001970209962832526</v>
      </c>
    </row>
    <row r="950" spans="1:10" ht="12.75">
      <c r="A950" s="178">
        <f t="shared" si="51"/>
        <v>865</v>
      </c>
      <c r="B950" s="4">
        <v>4120</v>
      </c>
      <c r="C950" s="80" t="s">
        <v>33</v>
      </c>
      <c r="D950" s="25"/>
      <c r="E950" s="47"/>
      <c r="F950" s="154">
        <v>8700</v>
      </c>
      <c r="G950" s="154">
        <v>9100</v>
      </c>
      <c r="H950" s="154">
        <v>8656.21</v>
      </c>
      <c r="I950" s="199">
        <f t="shared" si="52"/>
        <v>0.951231868131868</v>
      </c>
      <c r="J950" s="129">
        <f t="shared" si="54"/>
        <v>0.00027242338571311454</v>
      </c>
    </row>
    <row r="951" spans="1:10" ht="12.75">
      <c r="A951" s="178">
        <f t="shared" si="51"/>
        <v>866</v>
      </c>
      <c r="B951" s="4">
        <v>4170</v>
      </c>
      <c r="C951" s="80" t="s">
        <v>258</v>
      </c>
      <c r="D951" s="25"/>
      <c r="E951" s="47"/>
      <c r="F951" s="154">
        <v>0</v>
      </c>
      <c r="G951" s="154">
        <v>1300</v>
      </c>
      <c r="H951" s="154">
        <v>1300</v>
      </c>
      <c r="I951" s="199">
        <f t="shared" si="52"/>
        <v>1</v>
      </c>
      <c r="J951" s="129">
        <f t="shared" si="54"/>
        <v>4.09128708091704E-05</v>
      </c>
    </row>
    <row r="952" spans="1:10" ht="12.75">
      <c r="A952" s="178">
        <f t="shared" si="51"/>
        <v>867</v>
      </c>
      <c r="B952" s="4">
        <v>4210</v>
      </c>
      <c r="C952" s="80" t="s">
        <v>153</v>
      </c>
      <c r="D952" s="25"/>
      <c r="E952" s="47"/>
      <c r="F952" s="154">
        <f>SUM(F954:F955)</f>
        <v>4800</v>
      </c>
      <c r="G952" s="154">
        <f>SUM(G954:G955)</f>
        <v>19800</v>
      </c>
      <c r="H952" s="154">
        <f>SUM(H954:H955)</f>
        <v>17423.53</v>
      </c>
      <c r="I952" s="199">
        <f>H952/G952</f>
        <v>0.8799762626262626</v>
      </c>
      <c r="J952" s="129">
        <f>H952/H$54</f>
        <v>0.0005483435630228499</v>
      </c>
    </row>
    <row r="953" spans="1:10" ht="12.75">
      <c r="A953" s="178">
        <f t="shared" si="51"/>
        <v>868</v>
      </c>
      <c r="B953" s="4"/>
      <c r="C953" s="80" t="s">
        <v>15</v>
      </c>
      <c r="D953" s="25"/>
      <c r="E953" s="47"/>
      <c r="F953" s="154"/>
      <c r="G953" s="154"/>
      <c r="H953" s="154"/>
      <c r="I953" s="199"/>
      <c r="J953" s="129"/>
    </row>
    <row r="954" spans="1:10" ht="12.75">
      <c r="A954" s="178">
        <f t="shared" si="51"/>
        <v>869</v>
      </c>
      <c r="B954" s="4"/>
      <c r="C954" s="80" t="s">
        <v>662</v>
      </c>
      <c r="D954" s="25"/>
      <c r="E954" s="47"/>
      <c r="F954" s="154">
        <v>4800</v>
      </c>
      <c r="G954" s="154">
        <v>17800</v>
      </c>
      <c r="H954" s="154">
        <v>15423.53</v>
      </c>
      <c r="I954" s="199">
        <f>H954/G954</f>
        <v>0.8664904494382023</v>
      </c>
      <c r="J954" s="129">
        <f>H954/H$54</f>
        <v>0.00048540068485489543</v>
      </c>
    </row>
    <row r="955" spans="1:10" ht="12.75">
      <c r="A955" s="178">
        <f t="shared" si="51"/>
        <v>870</v>
      </c>
      <c r="B955" s="4"/>
      <c r="C955" s="80" t="s">
        <v>663</v>
      </c>
      <c r="D955" s="25"/>
      <c r="E955" s="47"/>
      <c r="F955" s="154">
        <v>0</v>
      </c>
      <c r="G955" s="154">
        <v>2000</v>
      </c>
      <c r="H955" s="154">
        <v>2000</v>
      </c>
      <c r="I955" s="199">
        <f>H955/G955</f>
        <v>1</v>
      </c>
      <c r="J955" s="129">
        <f>H955/H$54</f>
        <v>6.294287816795447E-05</v>
      </c>
    </row>
    <row r="956" spans="1:10" ht="12.75">
      <c r="A956" s="178">
        <f t="shared" si="51"/>
        <v>871</v>
      </c>
      <c r="B956" s="4">
        <v>4280</v>
      </c>
      <c r="C956" s="80" t="s">
        <v>326</v>
      </c>
      <c r="D956" s="25"/>
      <c r="E956" s="47"/>
      <c r="F956" s="154">
        <v>1000</v>
      </c>
      <c r="G956" s="154">
        <v>1000</v>
      </c>
      <c r="H956" s="154">
        <v>823</v>
      </c>
      <c r="I956" s="199">
        <f t="shared" si="52"/>
        <v>0.823</v>
      </c>
      <c r="J956" s="129">
        <f t="shared" si="54"/>
        <v>2.5900994366113266E-05</v>
      </c>
    </row>
    <row r="957" spans="1:10" ht="12.75">
      <c r="A957" s="178">
        <f t="shared" si="51"/>
        <v>872</v>
      </c>
      <c r="B957" s="4">
        <v>4300</v>
      </c>
      <c r="C957" s="80" t="s">
        <v>151</v>
      </c>
      <c r="D957" s="25"/>
      <c r="E957" s="47"/>
      <c r="F957" s="154">
        <f>60100+2690-5000</f>
        <v>57790</v>
      </c>
      <c r="G957" s="154">
        <v>43790</v>
      </c>
      <c r="H957" s="154">
        <v>37383.67</v>
      </c>
      <c r="I957" s="199">
        <f t="shared" si="52"/>
        <v>0.8537033569308061</v>
      </c>
      <c r="J957" s="129">
        <f t="shared" si="54"/>
        <v>0.0011765178931405073</v>
      </c>
    </row>
    <row r="958" spans="1:10" ht="12.75">
      <c r="A958" s="178">
        <f t="shared" si="51"/>
        <v>873</v>
      </c>
      <c r="B958" s="15">
        <v>4350</v>
      </c>
      <c r="C958" s="123" t="s">
        <v>382</v>
      </c>
      <c r="D958" s="25"/>
      <c r="E958" s="47"/>
      <c r="F958" s="154">
        <v>1500</v>
      </c>
      <c r="G958" s="154">
        <v>0</v>
      </c>
      <c r="H958" s="154">
        <v>0</v>
      </c>
      <c r="I958" s="199"/>
      <c r="J958" s="129">
        <f t="shared" si="54"/>
        <v>0</v>
      </c>
    </row>
    <row r="959" spans="1:10" ht="12.75">
      <c r="A959" s="178">
        <f t="shared" si="51"/>
        <v>874</v>
      </c>
      <c r="B959" s="15">
        <v>4360</v>
      </c>
      <c r="C959" s="123" t="s">
        <v>368</v>
      </c>
      <c r="D959" s="25"/>
      <c r="E959" s="47"/>
      <c r="F959" s="154"/>
      <c r="G959" s="154"/>
      <c r="H959" s="154"/>
      <c r="I959" s="199"/>
      <c r="J959" s="129"/>
    </row>
    <row r="960" spans="1:10" ht="12.75">
      <c r="A960" s="178">
        <f t="shared" si="51"/>
        <v>875</v>
      </c>
      <c r="B960" s="15"/>
      <c r="C960" s="123" t="s">
        <v>348</v>
      </c>
      <c r="D960" s="25"/>
      <c r="E960" s="47"/>
      <c r="F960" s="154">
        <v>0</v>
      </c>
      <c r="G960" s="154">
        <v>0</v>
      </c>
      <c r="H960" s="154">
        <v>0</v>
      </c>
      <c r="I960" s="199"/>
      <c r="J960" s="129">
        <f t="shared" si="54"/>
        <v>0</v>
      </c>
    </row>
    <row r="961" spans="1:10" ht="12.75">
      <c r="A961" s="178">
        <f t="shared" si="51"/>
        <v>876</v>
      </c>
      <c r="B961" s="15">
        <v>4370</v>
      </c>
      <c r="C961" s="123" t="s">
        <v>368</v>
      </c>
      <c r="D961" s="25"/>
      <c r="E961" s="47"/>
      <c r="F961" s="154"/>
      <c r="G961" s="154"/>
      <c r="H961" s="154"/>
      <c r="I961" s="199"/>
      <c r="J961" s="129"/>
    </row>
    <row r="962" spans="1:10" ht="12.75">
      <c r="A962" s="178">
        <f t="shared" si="51"/>
        <v>877</v>
      </c>
      <c r="B962" s="15"/>
      <c r="C962" s="123" t="s">
        <v>349</v>
      </c>
      <c r="D962" s="25"/>
      <c r="E962" s="47"/>
      <c r="F962" s="154">
        <v>5400</v>
      </c>
      <c r="G962" s="154">
        <v>8100</v>
      </c>
      <c r="H962" s="154">
        <v>7582.04</v>
      </c>
      <c r="I962" s="199">
        <f t="shared" si="52"/>
        <v>0.9360543209876543</v>
      </c>
      <c r="J962" s="129">
        <f t="shared" si="54"/>
        <v>0.00023861770999227875</v>
      </c>
    </row>
    <row r="963" spans="1:10" ht="12.75">
      <c r="A963" s="178">
        <f t="shared" si="51"/>
        <v>878</v>
      </c>
      <c r="B963" s="107">
        <v>4400</v>
      </c>
      <c r="C963" s="80" t="s">
        <v>548</v>
      </c>
      <c r="D963" s="25"/>
      <c r="E963" s="47"/>
      <c r="F963" s="154"/>
      <c r="G963" s="154"/>
      <c r="H963" s="154"/>
      <c r="I963" s="199"/>
      <c r="J963" s="129"/>
    </row>
    <row r="964" spans="1:10" ht="12.75">
      <c r="A964" s="178">
        <f t="shared" si="51"/>
        <v>879</v>
      </c>
      <c r="B964" s="107"/>
      <c r="C964" s="80" t="s">
        <v>547</v>
      </c>
      <c r="D964" s="25"/>
      <c r="E964" s="47"/>
      <c r="F964" s="154">
        <v>36000</v>
      </c>
      <c r="G964" s="154">
        <v>38000</v>
      </c>
      <c r="H964" s="154">
        <v>37643.03</v>
      </c>
      <c r="I964" s="199">
        <f t="shared" si="52"/>
        <v>0.990606052631579</v>
      </c>
      <c r="J964" s="129">
        <f t="shared" si="54"/>
        <v>0.0011846803255813275</v>
      </c>
    </row>
    <row r="965" spans="1:10" ht="12.75">
      <c r="A965" s="178">
        <f t="shared" si="51"/>
        <v>880</v>
      </c>
      <c r="B965" s="4">
        <v>4410</v>
      </c>
      <c r="C965" s="80" t="s">
        <v>57</v>
      </c>
      <c r="D965" s="25"/>
      <c r="E965" s="47"/>
      <c r="F965" s="154">
        <v>5400</v>
      </c>
      <c r="G965" s="154">
        <v>3550</v>
      </c>
      <c r="H965" s="154">
        <v>3358.05</v>
      </c>
      <c r="I965" s="199">
        <f t="shared" si="52"/>
        <v>0.9459295774647888</v>
      </c>
      <c r="J965" s="129">
        <f t="shared" si="54"/>
        <v>0.00010568266601594976</v>
      </c>
    </row>
    <row r="966" spans="1:10" ht="12.75">
      <c r="A966" s="178">
        <f t="shared" si="51"/>
        <v>881</v>
      </c>
      <c r="B966" s="4">
        <v>4430</v>
      </c>
      <c r="C966" s="80" t="s">
        <v>40</v>
      </c>
      <c r="D966" s="25"/>
      <c r="E966" s="47"/>
      <c r="F966" s="154">
        <v>2000</v>
      </c>
      <c r="G966" s="154">
        <v>2000</v>
      </c>
      <c r="H966" s="154">
        <v>1383</v>
      </c>
      <c r="I966" s="199">
        <f t="shared" si="52"/>
        <v>0.6915</v>
      </c>
      <c r="J966" s="129">
        <f t="shared" si="54"/>
        <v>4.3525000253140513E-05</v>
      </c>
    </row>
    <row r="967" spans="1:10" ht="12.75">
      <c r="A967" s="178">
        <f t="shared" si="51"/>
        <v>882</v>
      </c>
      <c r="B967" s="4">
        <v>4440</v>
      </c>
      <c r="C967" s="80" t="s">
        <v>62</v>
      </c>
      <c r="D967" s="25"/>
      <c r="E967" s="47"/>
      <c r="F967" s="154">
        <v>5750</v>
      </c>
      <c r="G967" s="154">
        <v>6437</v>
      </c>
      <c r="H967" s="154">
        <v>6437</v>
      </c>
      <c r="I967" s="199">
        <f t="shared" si="52"/>
        <v>1</v>
      </c>
      <c r="J967" s="129">
        <f t="shared" si="54"/>
        <v>0.00020258165338356147</v>
      </c>
    </row>
    <row r="968" spans="1:10" ht="12.75">
      <c r="A968" s="178">
        <f t="shared" si="51"/>
        <v>883</v>
      </c>
      <c r="B968" s="4">
        <v>4700</v>
      </c>
      <c r="C968" s="80" t="s">
        <v>396</v>
      </c>
      <c r="D968" s="25"/>
      <c r="E968" s="47"/>
      <c r="F968" s="154"/>
      <c r="G968" s="154"/>
      <c r="H968" s="154"/>
      <c r="I968" s="199"/>
      <c r="J968" s="129"/>
    </row>
    <row r="969" spans="1:10" ht="12.75">
      <c r="A969" s="178">
        <f t="shared" si="51"/>
        <v>884</v>
      </c>
      <c r="B969" s="4"/>
      <c r="C969" s="80" t="s">
        <v>397</v>
      </c>
      <c r="D969" s="25"/>
      <c r="E969" s="47"/>
      <c r="F969" s="154">
        <v>5000</v>
      </c>
      <c r="G969" s="154">
        <v>3500</v>
      </c>
      <c r="H969" s="154">
        <v>3380</v>
      </c>
      <c r="I969" s="199">
        <f t="shared" si="52"/>
        <v>0.9657142857142857</v>
      </c>
      <c r="J969" s="129">
        <f t="shared" si="54"/>
        <v>0.00010637346410384305</v>
      </c>
    </row>
    <row r="970" spans="1:10" ht="12.75">
      <c r="A970" s="178">
        <f aca="true" t="shared" si="55" ref="A970:A1033">A969+1</f>
        <v>885</v>
      </c>
      <c r="B970" s="15">
        <v>4740</v>
      </c>
      <c r="C970" s="123" t="s">
        <v>354</v>
      </c>
      <c r="D970" s="25"/>
      <c r="E970" s="47"/>
      <c r="F970" s="154"/>
      <c r="G970" s="154"/>
      <c r="H970" s="154"/>
      <c r="I970" s="199"/>
      <c r="J970" s="129"/>
    </row>
    <row r="971" spans="1:10" ht="12.75">
      <c r="A971" s="178">
        <f t="shared" si="55"/>
        <v>886</v>
      </c>
      <c r="B971" s="15"/>
      <c r="C971" s="123" t="s">
        <v>355</v>
      </c>
      <c r="D971" s="25"/>
      <c r="E971" s="47"/>
      <c r="F971" s="154">
        <v>4500</v>
      </c>
      <c r="G971" s="154">
        <v>2000</v>
      </c>
      <c r="H971" s="154">
        <v>1014.04</v>
      </c>
      <c r="I971" s="199">
        <f t="shared" si="52"/>
        <v>0.50702</v>
      </c>
      <c r="J971" s="129">
        <f t="shared" si="54"/>
        <v>3.191329808871627E-05</v>
      </c>
    </row>
    <row r="972" spans="1:10" ht="12.75">
      <c r="A972" s="178">
        <f t="shared" si="55"/>
        <v>887</v>
      </c>
      <c r="B972" s="15">
        <v>4750</v>
      </c>
      <c r="C972" s="123" t="s">
        <v>356</v>
      </c>
      <c r="D972" s="25"/>
      <c r="E972" s="47"/>
      <c r="F972" s="154"/>
      <c r="G972" s="154"/>
      <c r="H972" s="154"/>
      <c r="I972" s="199"/>
      <c r="J972" s="129"/>
    </row>
    <row r="973" spans="1:10" ht="12.75">
      <c r="A973" s="178">
        <f t="shared" si="55"/>
        <v>888</v>
      </c>
      <c r="B973" s="15"/>
      <c r="C973" s="123" t="s">
        <v>357</v>
      </c>
      <c r="D973" s="25"/>
      <c r="E973" s="47"/>
      <c r="F973" s="154">
        <v>5000</v>
      </c>
      <c r="G973" s="154">
        <v>5850</v>
      </c>
      <c r="H973" s="154">
        <v>5295.98</v>
      </c>
      <c r="I973" s="199">
        <f t="shared" si="52"/>
        <v>0.9052957264957264</v>
      </c>
      <c r="J973" s="129">
        <f t="shared" si="54"/>
        <v>0.00016667211195996173</v>
      </c>
    </row>
    <row r="974" spans="1:10" ht="12.75">
      <c r="A974" s="178">
        <f t="shared" si="55"/>
        <v>889</v>
      </c>
      <c r="B974" s="4">
        <v>6060</v>
      </c>
      <c r="C974" s="80" t="s">
        <v>196</v>
      </c>
      <c r="D974" s="25"/>
      <c r="E974" s="47"/>
      <c r="F974" s="154">
        <v>0</v>
      </c>
      <c r="G974" s="154">
        <v>0</v>
      </c>
      <c r="H974" s="154">
        <v>0</v>
      </c>
      <c r="I974" s="199"/>
      <c r="J974" s="129">
        <f t="shared" si="54"/>
        <v>0</v>
      </c>
    </row>
    <row r="975" spans="1:10" ht="12.75">
      <c r="A975" s="178">
        <f t="shared" si="55"/>
        <v>890</v>
      </c>
      <c r="B975" s="63">
        <v>85228</v>
      </c>
      <c r="C975" s="69" t="s">
        <v>130</v>
      </c>
      <c r="D975" s="25"/>
      <c r="E975" s="47"/>
      <c r="F975" s="154"/>
      <c r="G975" s="154"/>
      <c r="H975" s="154"/>
      <c r="I975" s="199"/>
      <c r="J975" s="129"/>
    </row>
    <row r="976" spans="1:10" ht="12.75">
      <c r="A976" s="178">
        <f t="shared" si="55"/>
        <v>891</v>
      </c>
      <c r="B976" s="63"/>
      <c r="C976" s="69" t="s">
        <v>131</v>
      </c>
      <c r="D976" s="25"/>
      <c r="E976" s="47"/>
      <c r="F976" s="164">
        <f>SUM(F977:F983)</f>
        <v>270950</v>
      </c>
      <c r="G976" s="164">
        <f>SUM(G977:G983)</f>
        <v>270950</v>
      </c>
      <c r="H976" s="164">
        <f>SUM(H977:H983)</f>
        <v>255089.86999999997</v>
      </c>
      <c r="I976" s="199">
        <f t="shared" si="52"/>
        <v>0.9414647351909945</v>
      </c>
      <c r="J976" s="129">
        <f t="shared" si="54"/>
        <v>0.008028045304644672</v>
      </c>
    </row>
    <row r="977" spans="1:10" ht="12.75">
      <c r="A977" s="178">
        <f t="shared" si="55"/>
        <v>892</v>
      </c>
      <c r="B977" s="4">
        <v>3020</v>
      </c>
      <c r="C977" s="80" t="s">
        <v>266</v>
      </c>
      <c r="D977" s="25"/>
      <c r="E977" s="47"/>
      <c r="F977" s="154">
        <v>3000</v>
      </c>
      <c r="G977" s="154">
        <v>3200</v>
      </c>
      <c r="H977" s="154">
        <v>3087.36</v>
      </c>
      <c r="I977" s="199">
        <f t="shared" si="52"/>
        <v>0.9648</v>
      </c>
      <c r="J977" s="129">
        <f t="shared" si="54"/>
        <v>9.716366217030796E-05</v>
      </c>
    </row>
    <row r="978" spans="1:10" ht="12.75">
      <c r="A978" s="178">
        <f t="shared" si="55"/>
        <v>893</v>
      </c>
      <c r="B978" s="4">
        <v>4010</v>
      </c>
      <c r="C978" s="80" t="s">
        <v>27</v>
      </c>
      <c r="D978" s="25"/>
      <c r="E978" s="47"/>
      <c r="F978" s="154">
        <v>204000</v>
      </c>
      <c r="G978" s="154">
        <v>203550</v>
      </c>
      <c r="H978" s="154">
        <v>192952.35</v>
      </c>
      <c r="I978" s="199">
        <f t="shared" si="52"/>
        <v>0.9479358879882093</v>
      </c>
      <c r="J978" s="129">
        <f t="shared" si="54"/>
        <v>0.006072488129135255</v>
      </c>
    </row>
    <row r="979" spans="1:10" ht="12.75">
      <c r="A979" s="178">
        <f t="shared" si="55"/>
        <v>894</v>
      </c>
      <c r="B979" s="4">
        <v>4040</v>
      </c>
      <c r="C979" s="80" t="s">
        <v>28</v>
      </c>
      <c r="D979" s="25"/>
      <c r="E979" s="47"/>
      <c r="F979" s="154">
        <v>14400</v>
      </c>
      <c r="G979" s="154">
        <v>14400</v>
      </c>
      <c r="H979" s="154">
        <v>12800.77</v>
      </c>
      <c r="I979" s="199">
        <f aca="true" t="shared" si="56" ref="I979:I1052">H979/G979</f>
        <v>0.8889423611111111</v>
      </c>
      <c r="J979" s="129">
        <f t="shared" si="54"/>
        <v>0.0004028586532830033</v>
      </c>
    </row>
    <row r="980" spans="1:10" ht="12.75">
      <c r="A980" s="178">
        <f t="shared" si="55"/>
        <v>895</v>
      </c>
      <c r="B980" s="4">
        <v>4110</v>
      </c>
      <c r="C980" s="80" t="s">
        <v>32</v>
      </c>
      <c r="D980" s="25"/>
      <c r="E980" s="47"/>
      <c r="F980" s="154">
        <v>38700</v>
      </c>
      <c r="G980" s="154">
        <v>38700</v>
      </c>
      <c r="H980" s="154">
        <v>35739.96</v>
      </c>
      <c r="I980" s="199">
        <f t="shared" si="56"/>
        <v>0.9235131782945736</v>
      </c>
      <c r="J980" s="129">
        <f t="shared" si="54"/>
        <v>0.001124787974003783</v>
      </c>
    </row>
    <row r="981" spans="1:10" ht="12.75">
      <c r="A981" s="178">
        <f t="shared" si="55"/>
        <v>896</v>
      </c>
      <c r="B981" s="4">
        <v>4120</v>
      </c>
      <c r="C981" s="80" t="s">
        <v>33</v>
      </c>
      <c r="D981" s="25"/>
      <c r="E981" s="47"/>
      <c r="F981" s="154">
        <v>4600</v>
      </c>
      <c r="G981" s="154">
        <v>4850</v>
      </c>
      <c r="H981" s="154">
        <v>4759.43</v>
      </c>
      <c r="I981" s="199">
        <f t="shared" si="56"/>
        <v>0.9813257731958763</v>
      </c>
      <c r="J981" s="129">
        <f t="shared" si="54"/>
        <v>0.00014978611131945377</v>
      </c>
    </row>
    <row r="982" spans="1:10" ht="12.75">
      <c r="A982" s="178">
        <f t="shared" si="55"/>
        <v>897</v>
      </c>
      <c r="B982" s="4">
        <v>4430</v>
      </c>
      <c r="C982" s="80" t="s">
        <v>40</v>
      </c>
      <c r="D982" s="25"/>
      <c r="E982" s="47"/>
      <c r="F982" s="154">
        <v>500</v>
      </c>
      <c r="G982" s="154">
        <v>500</v>
      </c>
      <c r="H982" s="154">
        <v>0</v>
      </c>
      <c r="I982" s="199">
        <f t="shared" si="56"/>
        <v>0</v>
      </c>
      <c r="J982" s="129">
        <f t="shared" si="54"/>
        <v>0</v>
      </c>
    </row>
    <row r="983" spans="1:10" ht="12.75">
      <c r="A983" s="178">
        <f t="shared" si="55"/>
        <v>898</v>
      </c>
      <c r="B983" s="4">
        <v>4440</v>
      </c>
      <c r="C983" s="80" t="s">
        <v>53</v>
      </c>
      <c r="D983" s="25"/>
      <c r="E983" s="47"/>
      <c r="F983" s="154">
        <v>5750</v>
      </c>
      <c r="G983" s="154">
        <v>5750</v>
      </c>
      <c r="H983" s="154">
        <v>5750</v>
      </c>
      <c r="I983" s="199">
        <f t="shared" si="56"/>
        <v>1</v>
      </c>
      <c r="J983" s="129">
        <f t="shared" si="54"/>
        <v>0.00018096077473286911</v>
      </c>
    </row>
    <row r="984" spans="1:10" ht="12.75">
      <c r="A984" s="178">
        <f t="shared" si="55"/>
        <v>899</v>
      </c>
      <c r="B984" s="63">
        <v>85295</v>
      </c>
      <c r="C984" s="69" t="s">
        <v>25</v>
      </c>
      <c r="D984" s="25"/>
      <c r="E984" s="47"/>
      <c r="F984" s="164">
        <f>F985+F991+F993+F995+F997+F1000</f>
        <v>145000</v>
      </c>
      <c r="G984" s="164">
        <f>G985+G991+G993+G995+G997+G1000</f>
        <v>232000</v>
      </c>
      <c r="H984" s="164">
        <f>H985+H991+H993+H995+H997+H1000</f>
        <v>207071.88</v>
      </c>
      <c r="I984" s="199">
        <f t="shared" si="56"/>
        <v>0.8925512068965518</v>
      </c>
      <c r="J984" s="129">
        <f t="shared" si="54"/>
        <v>0.006516850057424644</v>
      </c>
    </row>
    <row r="985" spans="1:10" ht="12.75">
      <c r="A985" s="178">
        <f t="shared" si="55"/>
        <v>900</v>
      </c>
      <c r="B985" s="4">
        <v>3110</v>
      </c>
      <c r="C985" s="80" t="s">
        <v>54</v>
      </c>
      <c r="D985" s="25"/>
      <c r="E985" s="47"/>
      <c r="F985" s="154">
        <f>SUM(F987:F989)</f>
        <v>145000</v>
      </c>
      <c r="G985" s="154">
        <f>SUM(G987:G989)</f>
        <v>217000</v>
      </c>
      <c r="H985" s="154">
        <f>SUM(H987:H989)</f>
        <v>192071.88</v>
      </c>
      <c r="I985" s="199">
        <f t="shared" si="56"/>
        <v>0.8851238709677419</v>
      </c>
      <c r="J985" s="129">
        <f t="shared" si="54"/>
        <v>0.006044778471164985</v>
      </c>
    </row>
    <row r="986" spans="1:10" ht="12.75">
      <c r="A986" s="178">
        <f t="shared" si="55"/>
        <v>901</v>
      </c>
      <c r="B986" s="4"/>
      <c r="C986" s="80" t="s">
        <v>15</v>
      </c>
      <c r="D986" s="25"/>
      <c r="E986" s="47"/>
      <c r="F986" s="154"/>
      <c r="G986" s="154"/>
      <c r="H986" s="154"/>
      <c r="I986" s="199"/>
      <c r="J986" s="129"/>
    </row>
    <row r="987" spans="1:10" ht="12.75">
      <c r="A987" s="178">
        <f t="shared" si="55"/>
        <v>902</v>
      </c>
      <c r="B987" s="4"/>
      <c r="C987" s="80" t="s">
        <v>369</v>
      </c>
      <c r="D987" s="25"/>
      <c r="E987" s="47"/>
      <c r="F987" s="154">
        <v>70000</v>
      </c>
      <c r="G987" s="154">
        <v>120000</v>
      </c>
      <c r="H987" s="154">
        <v>120000</v>
      </c>
      <c r="I987" s="199">
        <f t="shared" si="56"/>
        <v>1</v>
      </c>
      <c r="J987" s="129">
        <f t="shared" si="54"/>
        <v>0.003776572690077268</v>
      </c>
    </row>
    <row r="988" spans="1:10" ht="12.75">
      <c r="A988" s="178">
        <f t="shared" si="55"/>
        <v>903</v>
      </c>
      <c r="B988" s="4"/>
      <c r="C988" s="80" t="s">
        <v>370</v>
      </c>
      <c r="D988" s="25"/>
      <c r="E988" s="47"/>
      <c r="F988" s="154">
        <v>60000</v>
      </c>
      <c r="G988" s="154">
        <v>80000</v>
      </c>
      <c r="H988" s="154">
        <v>63355.24</v>
      </c>
      <c r="I988" s="199">
        <f t="shared" si="56"/>
        <v>0.7919404999999999</v>
      </c>
      <c r="J988" s="129">
        <f t="shared" si="54"/>
        <v>0.0019938805763107578</v>
      </c>
    </row>
    <row r="989" spans="1:10" ht="12.75">
      <c r="A989" s="178">
        <f t="shared" si="55"/>
        <v>904</v>
      </c>
      <c r="B989" s="4"/>
      <c r="C989" s="80" t="s">
        <v>371</v>
      </c>
      <c r="D989" s="25"/>
      <c r="E989" s="47"/>
      <c r="F989" s="154">
        <v>15000</v>
      </c>
      <c r="G989" s="154">
        <v>17000</v>
      </c>
      <c r="H989" s="154">
        <v>8716.64</v>
      </c>
      <c r="I989" s="199">
        <f t="shared" si="56"/>
        <v>0.5127435294117647</v>
      </c>
      <c r="J989" s="129">
        <f t="shared" si="54"/>
        <v>0.0002743252047769593</v>
      </c>
    </row>
    <row r="990" spans="1:10" ht="12.75">
      <c r="A990" s="178">
        <f t="shared" si="55"/>
        <v>905</v>
      </c>
      <c r="B990" s="4">
        <v>4170</v>
      </c>
      <c r="C990" s="80" t="s">
        <v>258</v>
      </c>
      <c r="D990" s="25"/>
      <c r="E990" s="47"/>
      <c r="F990" s="154"/>
      <c r="G990" s="154"/>
      <c r="H990" s="154"/>
      <c r="I990" s="199"/>
      <c r="J990" s="129"/>
    </row>
    <row r="991" spans="1:10" ht="12.75">
      <c r="A991" s="178">
        <f t="shared" si="55"/>
        <v>906</v>
      </c>
      <c r="B991" s="4"/>
      <c r="C991" s="80" t="s">
        <v>664</v>
      </c>
      <c r="D991" s="25"/>
      <c r="E991" s="47"/>
      <c r="F991" s="154">
        <v>0</v>
      </c>
      <c r="G991" s="154">
        <v>4640</v>
      </c>
      <c r="H991" s="154">
        <v>4640</v>
      </c>
      <c r="I991" s="199">
        <f>H991/G991</f>
        <v>1</v>
      </c>
      <c r="J991" s="129">
        <f>H991/H$54</f>
        <v>0.00014602747734965437</v>
      </c>
    </row>
    <row r="992" spans="1:10" ht="12.75">
      <c r="A992" s="178">
        <f t="shared" si="55"/>
        <v>907</v>
      </c>
      <c r="B992" s="4">
        <v>4210</v>
      </c>
      <c r="C992" s="80" t="s">
        <v>153</v>
      </c>
      <c r="D992" s="25"/>
      <c r="E992" s="47"/>
      <c r="F992" s="154"/>
      <c r="G992" s="154"/>
      <c r="H992" s="154"/>
      <c r="I992" s="199"/>
      <c r="J992" s="129"/>
    </row>
    <row r="993" spans="1:10" ht="12.75">
      <c r="A993" s="178">
        <f t="shared" si="55"/>
        <v>908</v>
      </c>
      <c r="B993" s="4"/>
      <c r="C993" s="80" t="s">
        <v>664</v>
      </c>
      <c r="D993" s="25"/>
      <c r="E993" s="47"/>
      <c r="F993" s="154">
        <v>0</v>
      </c>
      <c r="G993" s="154">
        <v>7660</v>
      </c>
      <c r="H993" s="154">
        <v>7660</v>
      </c>
      <c r="I993" s="199">
        <f>H993/G993</f>
        <v>1</v>
      </c>
      <c r="J993" s="129">
        <f>H993/H$54</f>
        <v>0.00024107122338326562</v>
      </c>
    </row>
    <row r="994" spans="1:10" ht="12.75">
      <c r="A994" s="178">
        <f t="shared" si="55"/>
        <v>909</v>
      </c>
      <c r="B994" s="4">
        <v>4300</v>
      </c>
      <c r="C994" s="80" t="s">
        <v>151</v>
      </c>
      <c r="D994" s="25"/>
      <c r="E994" s="47"/>
      <c r="F994" s="154"/>
      <c r="G994" s="154"/>
      <c r="H994" s="154"/>
      <c r="I994" s="199"/>
      <c r="J994" s="129"/>
    </row>
    <row r="995" spans="1:10" ht="12.75">
      <c r="A995" s="178">
        <f t="shared" si="55"/>
        <v>910</v>
      </c>
      <c r="B995" s="4"/>
      <c r="C995" s="80" t="s">
        <v>664</v>
      </c>
      <c r="D995" s="25"/>
      <c r="E995" s="47"/>
      <c r="F995" s="154">
        <v>0</v>
      </c>
      <c r="G995" s="154">
        <v>2300</v>
      </c>
      <c r="H995" s="154">
        <v>2300</v>
      </c>
      <c r="I995" s="199">
        <f>H995/G995</f>
        <v>1</v>
      </c>
      <c r="J995" s="129">
        <f>H995/H$54</f>
        <v>7.238430989314765E-05</v>
      </c>
    </row>
    <row r="996" spans="1:10" ht="12.75">
      <c r="A996" s="178">
        <f t="shared" si="55"/>
        <v>911</v>
      </c>
      <c r="B996" s="4">
        <v>4430</v>
      </c>
      <c r="C996" s="80" t="s">
        <v>40</v>
      </c>
      <c r="D996" s="25"/>
      <c r="E996" s="47"/>
      <c r="F996" s="154"/>
      <c r="G996" s="154"/>
      <c r="H996" s="154"/>
      <c r="I996" s="199"/>
      <c r="J996" s="129"/>
    </row>
    <row r="997" spans="1:10" ht="12.75">
      <c r="A997" s="178">
        <f t="shared" si="55"/>
        <v>912</v>
      </c>
      <c r="B997" s="4"/>
      <c r="C997" s="80" t="s">
        <v>664</v>
      </c>
      <c r="D997" s="25"/>
      <c r="E997" s="47"/>
      <c r="F997" s="154">
        <v>0</v>
      </c>
      <c r="G997" s="154">
        <v>200</v>
      </c>
      <c r="H997" s="154">
        <v>200</v>
      </c>
      <c r="I997" s="199">
        <f>H997/G997</f>
        <v>1</v>
      </c>
      <c r="J997" s="129">
        <f>H997/H$54</f>
        <v>6.294287816795447E-06</v>
      </c>
    </row>
    <row r="998" spans="1:10" ht="12.75">
      <c r="A998" s="178">
        <f t="shared" si="55"/>
        <v>913</v>
      </c>
      <c r="B998" s="15">
        <v>4740</v>
      </c>
      <c r="C998" s="123" t="s">
        <v>354</v>
      </c>
      <c r="D998" s="25"/>
      <c r="E998" s="47"/>
      <c r="F998" s="154"/>
      <c r="G998" s="154"/>
      <c r="H998" s="154"/>
      <c r="I998" s="199"/>
      <c r="J998" s="129"/>
    </row>
    <row r="999" spans="1:10" ht="12.75">
      <c r="A999" s="178">
        <f t="shared" si="55"/>
        <v>914</v>
      </c>
      <c r="B999" s="15"/>
      <c r="C999" s="123" t="s">
        <v>355</v>
      </c>
      <c r="D999" s="25"/>
      <c r="E999" s="47"/>
      <c r="F999" s="154"/>
      <c r="G999" s="154"/>
      <c r="H999" s="154"/>
      <c r="I999" s="199"/>
      <c r="J999" s="129"/>
    </row>
    <row r="1000" spans="1:10" ht="12.75">
      <c r="A1000" s="178">
        <f t="shared" si="55"/>
        <v>915</v>
      </c>
      <c r="B1000" s="15"/>
      <c r="C1000" s="80" t="s">
        <v>664</v>
      </c>
      <c r="D1000" s="25"/>
      <c r="E1000" s="47"/>
      <c r="F1000" s="154">
        <v>0</v>
      </c>
      <c r="G1000" s="154">
        <v>200</v>
      </c>
      <c r="H1000" s="154">
        <v>200</v>
      </c>
      <c r="I1000" s="199">
        <f>H1000/G1000</f>
        <v>1</v>
      </c>
      <c r="J1000" s="129">
        <f>H1000/H$54</f>
        <v>6.294287816795447E-06</v>
      </c>
    </row>
    <row r="1001" spans="1:10" s="71" customFormat="1" ht="12.75" customHeight="1">
      <c r="A1001" s="178">
        <f t="shared" si="55"/>
        <v>916</v>
      </c>
      <c r="B1001" s="57">
        <v>854</v>
      </c>
      <c r="C1001" s="79" t="s">
        <v>132</v>
      </c>
      <c r="D1001" s="59"/>
      <c r="E1001" s="60" t="e">
        <f>E1002+#REF!+E1025+E1057+#REF!</f>
        <v>#REF!</v>
      </c>
      <c r="F1001" s="59">
        <f>F1002+F1025+F1105+F1112+F1127</f>
        <v>297238</v>
      </c>
      <c r="G1001" s="59">
        <f>G1002+G1025+G1105+G1112+G1127</f>
        <v>319999</v>
      </c>
      <c r="H1001" s="59">
        <f>H1002+H1025+H1105+H1112+H1127</f>
        <v>237171.18</v>
      </c>
      <c r="I1001" s="199">
        <f t="shared" si="56"/>
        <v>0.7411622536320426</v>
      </c>
      <c r="J1001" s="129">
        <f t="shared" si="54"/>
        <v>0.007464118343845</v>
      </c>
    </row>
    <row r="1002" spans="1:10" ht="12.75">
      <c r="A1002" s="178">
        <f t="shared" si="55"/>
        <v>917</v>
      </c>
      <c r="B1002" s="10">
        <v>85401</v>
      </c>
      <c r="C1002" s="69" t="s">
        <v>133</v>
      </c>
      <c r="D1002" s="25"/>
      <c r="E1002" s="45">
        <f>E1003+E1007+E1011+E1015+E1019</f>
        <v>120000</v>
      </c>
      <c r="F1002" s="26">
        <f>F1003+F1007+F1011++F1015+++F1019</f>
        <v>156430</v>
      </c>
      <c r="G1002" s="26">
        <f>G1003+G1007+G1011++G1015+++G1019</f>
        <v>165770</v>
      </c>
      <c r="H1002" s="26">
        <f>H1003+H1007+H1011++H1015+++H1019</f>
        <v>160194.81</v>
      </c>
      <c r="I1002" s="199">
        <f t="shared" si="56"/>
        <v>0.9663679194064064</v>
      </c>
      <c r="J1002" s="129">
        <f t="shared" si="54"/>
        <v>0.005041561204484307</v>
      </c>
    </row>
    <row r="1003" spans="1:10" ht="12.75">
      <c r="A1003" s="178">
        <f t="shared" si="55"/>
        <v>918</v>
      </c>
      <c r="B1003" s="4">
        <v>4010</v>
      </c>
      <c r="C1003" s="80" t="s">
        <v>27</v>
      </c>
      <c r="D1003" s="25"/>
      <c r="E1003" s="48">
        <f>SUM(E1005:E1006)</f>
        <v>88000</v>
      </c>
      <c r="F1003" s="23">
        <f>SUM(F1005:F1006)</f>
        <v>118800</v>
      </c>
      <c r="G1003" s="23">
        <f>SUM(G1005:G1006)</f>
        <v>125865</v>
      </c>
      <c r="H1003" s="23">
        <f>SUM(H1005:H1006)</f>
        <v>121846.91</v>
      </c>
      <c r="I1003" s="199">
        <f t="shared" si="56"/>
        <v>0.9680761927461964</v>
      </c>
      <c r="J1003" s="129">
        <f t="shared" si="54"/>
        <v>0.0038346976056358568</v>
      </c>
    </row>
    <row r="1004" spans="1:10" ht="12.75">
      <c r="A1004" s="178">
        <f t="shared" si="55"/>
        <v>919</v>
      </c>
      <c r="B1004" s="4"/>
      <c r="C1004" s="80" t="s">
        <v>15</v>
      </c>
      <c r="D1004" s="25"/>
      <c r="E1004" s="47"/>
      <c r="F1004" s="154"/>
      <c r="G1004" s="154"/>
      <c r="H1004" s="154"/>
      <c r="I1004" s="199"/>
      <c r="J1004" s="129"/>
    </row>
    <row r="1005" spans="1:10" ht="12.75">
      <c r="A1005" s="178">
        <f t="shared" si="55"/>
        <v>920</v>
      </c>
      <c r="B1005" s="4"/>
      <c r="C1005" s="80" t="s">
        <v>165</v>
      </c>
      <c r="D1005" s="25"/>
      <c r="E1005" s="47">
        <f>42800-4800</f>
        <v>38000</v>
      </c>
      <c r="F1005" s="154">
        <v>41800</v>
      </c>
      <c r="G1005" s="154">
        <v>43805</v>
      </c>
      <c r="H1005" s="154">
        <v>39792.44</v>
      </c>
      <c r="I1005" s="199">
        <f t="shared" si="56"/>
        <v>0.9083994977742268</v>
      </c>
      <c r="J1005" s="129">
        <f t="shared" si="54"/>
        <v>0.0012523253514628192</v>
      </c>
    </row>
    <row r="1006" spans="1:10" ht="12.75">
      <c r="A1006" s="178">
        <f t="shared" si="55"/>
        <v>921</v>
      </c>
      <c r="B1006" s="4"/>
      <c r="C1006" s="80" t="s">
        <v>48</v>
      </c>
      <c r="D1006" s="25"/>
      <c r="E1006" s="47">
        <v>50000</v>
      </c>
      <c r="F1006" s="154">
        <v>77000</v>
      </c>
      <c r="G1006" s="154">
        <v>82060</v>
      </c>
      <c r="H1006" s="154">
        <v>82054.47</v>
      </c>
      <c r="I1006" s="199">
        <f t="shared" si="56"/>
        <v>0.9999326102851572</v>
      </c>
      <c r="J1006" s="129">
        <f t="shared" si="54"/>
        <v>0.0025823722541730375</v>
      </c>
    </row>
    <row r="1007" spans="1:10" ht="12.75">
      <c r="A1007" s="178">
        <f t="shared" si="55"/>
        <v>922</v>
      </c>
      <c r="B1007" s="4">
        <v>4040</v>
      </c>
      <c r="C1007" s="80" t="s">
        <v>28</v>
      </c>
      <c r="D1007" s="25"/>
      <c r="E1007" s="48">
        <f>SUM(E1009:E1010)</f>
        <v>6900</v>
      </c>
      <c r="F1007" s="23">
        <f>SUM(F1009:F1010)</f>
        <v>7550</v>
      </c>
      <c r="G1007" s="23">
        <f>SUM(G1009:G1010)</f>
        <v>7400</v>
      </c>
      <c r="H1007" s="23">
        <f>SUM(H1009:H1010)</f>
        <v>7310.030000000001</v>
      </c>
      <c r="I1007" s="199">
        <f t="shared" si="56"/>
        <v>0.987841891891892</v>
      </c>
      <c r="J1007" s="129">
        <f t="shared" si="54"/>
        <v>0.00023005716384704613</v>
      </c>
    </row>
    <row r="1008" spans="1:10" ht="12.75">
      <c r="A1008" s="178">
        <f t="shared" si="55"/>
        <v>923</v>
      </c>
      <c r="B1008" s="4"/>
      <c r="C1008" s="80" t="s">
        <v>15</v>
      </c>
      <c r="D1008" s="25"/>
      <c r="E1008" s="47"/>
      <c r="F1008" s="154"/>
      <c r="G1008" s="154"/>
      <c r="H1008" s="154"/>
      <c r="I1008" s="199"/>
      <c r="J1008" s="129"/>
    </row>
    <row r="1009" spans="1:10" ht="12.75">
      <c r="A1009" s="178">
        <f t="shared" si="55"/>
        <v>924</v>
      </c>
      <c r="B1009" s="4"/>
      <c r="C1009" s="80" t="s">
        <v>165</v>
      </c>
      <c r="D1009" s="25"/>
      <c r="E1009" s="47">
        <v>3300</v>
      </c>
      <c r="F1009" s="154">
        <v>2850</v>
      </c>
      <c r="G1009" s="154">
        <v>2850</v>
      </c>
      <c r="H1009" s="154">
        <v>2761.32</v>
      </c>
      <c r="I1009" s="199">
        <f t="shared" si="56"/>
        <v>0.9688842105263158</v>
      </c>
      <c r="J1009" s="129">
        <f t="shared" si="54"/>
        <v>8.690271417136803E-05</v>
      </c>
    </row>
    <row r="1010" spans="1:10" ht="12.75">
      <c r="A1010" s="178">
        <f t="shared" si="55"/>
        <v>925</v>
      </c>
      <c r="B1010" s="4"/>
      <c r="C1010" s="80" t="s">
        <v>48</v>
      </c>
      <c r="D1010" s="25"/>
      <c r="E1010" s="47">
        <v>3600</v>
      </c>
      <c r="F1010" s="154">
        <v>4700</v>
      </c>
      <c r="G1010" s="154">
        <v>4550</v>
      </c>
      <c r="H1010" s="154">
        <v>4548.71</v>
      </c>
      <c r="I1010" s="199">
        <f t="shared" si="56"/>
        <v>0.9997164835164836</v>
      </c>
      <c r="J1010" s="129">
        <f t="shared" si="54"/>
        <v>0.0001431544496756781</v>
      </c>
    </row>
    <row r="1011" spans="1:10" ht="12.75">
      <c r="A1011" s="178">
        <f t="shared" si="55"/>
        <v>926</v>
      </c>
      <c r="B1011" s="4">
        <v>4110</v>
      </c>
      <c r="C1011" s="80" t="s">
        <v>32</v>
      </c>
      <c r="D1011" s="25"/>
      <c r="E1011" s="48">
        <f>SUM(E1013:E1014)</f>
        <v>17000</v>
      </c>
      <c r="F1011" s="23">
        <f>SUM(F1013:F1014)</f>
        <v>21200</v>
      </c>
      <c r="G1011" s="23">
        <f>SUM(G1013:G1014)</f>
        <v>23030</v>
      </c>
      <c r="H1011" s="23">
        <f>SUM(H1013:H1014)</f>
        <v>21746.879999999997</v>
      </c>
      <c r="I1011" s="199">
        <f t="shared" si="56"/>
        <v>0.9442848458532348</v>
      </c>
      <c r="J1011" s="129">
        <f t="shared" si="54"/>
        <v>0.0006844056091865628</v>
      </c>
    </row>
    <row r="1012" spans="1:10" ht="12.75">
      <c r="A1012" s="178">
        <f t="shared" si="55"/>
        <v>927</v>
      </c>
      <c r="B1012" s="4"/>
      <c r="C1012" s="80" t="s">
        <v>15</v>
      </c>
      <c r="D1012" s="25"/>
      <c r="E1012" s="47"/>
      <c r="F1012" s="154"/>
      <c r="G1012" s="154"/>
      <c r="H1012" s="154"/>
      <c r="I1012" s="199"/>
      <c r="J1012" s="129"/>
    </row>
    <row r="1013" spans="1:10" ht="12.75">
      <c r="A1013" s="178">
        <f t="shared" si="55"/>
        <v>928</v>
      </c>
      <c r="B1013" s="4"/>
      <c r="C1013" s="80" t="s">
        <v>165</v>
      </c>
      <c r="D1013" s="25"/>
      <c r="E1013" s="47">
        <v>7400</v>
      </c>
      <c r="F1013" s="154">
        <v>7700</v>
      </c>
      <c r="G1013" s="154">
        <v>8100</v>
      </c>
      <c r="H1013" s="154">
        <v>6863.42</v>
      </c>
      <c r="I1013" s="199">
        <f t="shared" si="56"/>
        <v>0.8473358024691358</v>
      </c>
      <c r="J1013" s="129">
        <f t="shared" si="54"/>
        <v>0.00021600170443775103</v>
      </c>
    </row>
    <row r="1014" spans="1:10" ht="12.75">
      <c r="A1014" s="178">
        <f t="shared" si="55"/>
        <v>929</v>
      </c>
      <c r="B1014" s="4"/>
      <c r="C1014" s="80" t="s">
        <v>48</v>
      </c>
      <c r="D1014" s="25"/>
      <c r="E1014" s="47">
        <v>9600</v>
      </c>
      <c r="F1014" s="154">
        <v>13500</v>
      </c>
      <c r="G1014" s="154">
        <v>14930</v>
      </c>
      <c r="H1014" s="154">
        <v>14883.46</v>
      </c>
      <c r="I1014" s="199">
        <f t="shared" si="56"/>
        <v>0.9968827863362357</v>
      </c>
      <c r="J1014" s="129">
        <f t="shared" si="54"/>
        <v>0.0004684039047488118</v>
      </c>
    </row>
    <row r="1015" spans="1:10" ht="12.75">
      <c r="A1015" s="178">
        <f t="shared" si="55"/>
        <v>930</v>
      </c>
      <c r="B1015" s="4">
        <v>4120</v>
      </c>
      <c r="C1015" s="80" t="s">
        <v>33</v>
      </c>
      <c r="D1015" s="25"/>
      <c r="E1015" s="48">
        <f>SUM(E1017:E1018)</f>
        <v>2300</v>
      </c>
      <c r="F1015" s="23">
        <f>SUM(F1017:F1018)</f>
        <v>2900</v>
      </c>
      <c r="G1015" s="23">
        <f>SUM(G1017:G1018)</f>
        <v>3250</v>
      </c>
      <c r="H1015" s="23">
        <f>SUM(H1017:H1018)</f>
        <v>3065.9900000000002</v>
      </c>
      <c r="I1015" s="199">
        <f t="shared" si="56"/>
        <v>0.9433815384615385</v>
      </c>
      <c r="J1015" s="129">
        <f t="shared" si="54"/>
        <v>9.649111751708337E-05</v>
      </c>
    </row>
    <row r="1016" spans="1:10" ht="12.75">
      <c r="A1016" s="178">
        <f t="shared" si="55"/>
        <v>931</v>
      </c>
      <c r="B1016" s="4"/>
      <c r="C1016" s="80" t="s">
        <v>15</v>
      </c>
      <c r="D1016" s="25"/>
      <c r="E1016" s="47"/>
      <c r="F1016" s="154"/>
      <c r="G1016" s="154"/>
      <c r="H1016" s="154"/>
      <c r="I1016" s="199"/>
      <c r="J1016" s="129"/>
    </row>
    <row r="1017" spans="1:10" ht="12.75">
      <c r="A1017" s="178">
        <f t="shared" si="55"/>
        <v>932</v>
      </c>
      <c r="B1017" s="4"/>
      <c r="C1017" s="80" t="s">
        <v>165</v>
      </c>
      <c r="D1017" s="25"/>
      <c r="E1017" s="47">
        <v>1000</v>
      </c>
      <c r="F1017" s="154">
        <v>1100</v>
      </c>
      <c r="G1017" s="154">
        <v>1150</v>
      </c>
      <c r="H1017" s="154">
        <v>974.92</v>
      </c>
      <c r="I1017" s="199">
        <f t="shared" si="56"/>
        <v>0.8477565217391304</v>
      </c>
      <c r="J1017" s="129">
        <f t="shared" si="54"/>
        <v>3.068213539175108E-05</v>
      </c>
    </row>
    <row r="1018" spans="1:10" ht="12.75">
      <c r="A1018" s="178">
        <f t="shared" si="55"/>
        <v>933</v>
      </c>
      <c r="B1018" s="4"/>
      <c r="C1018" s="80" t="s">
        <v>48</v>
      </c>
      <c r="D1018" s="25"/>
      <c r="E1018" s="47">
        <v>1300</v>
      </c>
      <c r="F1018" s="154">
        <v>1800</v>
      </c>
      <c r="G1018" s="154">
        <v>2100</v>
      </c>
      <c r="H1018" s="154">
        <v>2091.07</v>
      </c>
      <c r="I1018" s="199">
        <f t="shared" si="56"/>
        <v>0.9957476190476191</v>
      </c>
      <c r="J1018" s="129">
        <f>H1018/H$54</f>
        <v>6.580898212533228E-05</v>
      </c>
    </row>
    <row r="1019" spans="1:10" ht="12.75">
      <c r="A1019" s="178">
        <f t="shared" si="55"/>
        <v>934</v>
      </c>
      <c r="B1019" s="4">
        <v>4440</v>
      </c>
      <c r="C1019" s="80" t="s">
        <v>49</v>
      </c>
      <c r="D1019" s="25"/>
      <c r="E1019" s="48">
        <f>SUM(E1021:E1022)</f>
        <v>5800</v>
      </c>
      <c r="F1019" s="23">
        <f>SUM(F1021:F1022)</f>
        <v>5980</v>
      </c>
      <c r="G1019" s="23">
        <f>SUM(G1021:G1022)</f>
        <v>6225</v>
      </c>
      <c r="H1019" s="23">
        <f>SUM(H1021:H1022)</f>
        <v>6225</v>
      </c>
      <c r="I1019" s="199">
        <f t="shared" si="56"/>
        <v>1</v>
      </c>
      <c r="J1019" s="129">
        <f>H1019/H$54</f>
        <v>0.00019590970829775828</v>
      </c>
    </row>
    <row r="1020" spans="1:10" ht="12.75">
      <c r="A1020" s="178">
        <f t="shared" si="55"/>
        <v>935</v>
      </c>
      <c r="B1020" s="4"/>
      <c r="C1020" s="80" t="s">
        <v>15</v>
      </c>
      <c r="D1020" s="25"/>
      <c r="E1020" s="47"/>
      <c r="F1020" s="154"/>
      <c r="G1020" s="154"/>
      <c r="H1020" s="154"/>
      <c r="I1020" s="199"/>
      <c r="J1020" s="129"/>
    </row>
    <row r="1021" spans="1:10" ht="12.75">
      <c r="A1021" s="178">
        <f t="shared" si="55"/>
        <v>936</v>
      </c>
      <c r="B1021" s="4"/>
      <c r="C1021" s="80" t="s">
        <v>165</v>
      </c>
      <c r="D1021" s="25"/>
      <c r="E1021" s="47">
        <v>2500</v>
      </c>
      <c r="F1021" s="154">
        <v>1980</v>
      </c>
      <c r="G1021" s="154">
        <v>2075</v>
      </c>
      <c r="H1021" s="154">
        <v>2075</v>
      </c>
      <c r="I1021" s="199">
        <f t="shared" si="56"/>
        <v>1</v>
      </c>
      <c r="J1021" s="129">
        <f>H1021/H$54</f>
        <v>6.530323609925276E-05</v>
      </c>
    </row>
    <row r="1022" spans="1:10" ht="12.75">
      <c r="A1022" s="178">
        <f t="shared" si="55"/>
        <v>937</v>
      </c>
      <c r="B1022" s="4"/>
      <c r="C1022" s="80" t="s">
        <v>48</v>
      </c>
      <c r="D1022" s="25"/>
      <c r="E1022" s="47">
        <v>3300</v>
      </c>
      <c r="F1022" s="154">
        <v>4000</v>
      </c>
      <c r="G1022" s="154">
        <v>4150</v>
      </c>
      <c r="H1022" s="154">
        <v>4150</v>
      </c>
      <c r="I1022" s="199">
        <f t="shared" si="56"/>
        <v>1</v>
      </c>
      <c r="J1022" s="129">
        <f>H1022/H$54</f>
        <v>0.00013060647219850552</v>
      </c>
    </row>
    <row r="1023" spans="1:10" s="29" customFormat="1" ht="12.75">
      <c r="A1023" s="178">
        <f t="shared" si="55"/>
        <v>938</v>
      </c>
      <c r="B1023" s="11">
        <v>85412</v>
      </c>
      <c r="C1023" s="69" t="s">
        <v>134</v>
      </c>
      <c r="D1023" s="26"/>
      <c r="E1023" s="45"/>
      <c r="F1023" s="170"/>
      <c r="G1023" s="170"/>
      <c r="H1023" s="170"/>
      <c r="I1023" s="199"/>
      <c r="J1023" s="129"/>
    </row>
    <row r="1024" spans="1:10" s="29" customFormat="1" ht="12.75">
      <c r="A1024" s="178">
        <f t="shared" si="55"/>
        <v>939</v>
      </c>
      <c r="B1024" s="11"/>
      <c r="C1024" s="69" t="s">
        <v>135</v>
      </c>
      <c r="D1024" s="26"/>
      <c r="E1024" s="45"/>
      <c r="F1024" s="170"/>
      <c r="G1024" s="170"/>
      <c r="H1024" s="170"/>
      <c r="I1024" s="199"/>
      <c r="J1024" s="129"/>
    </row>
    <row r="1025" spans="1:10" s="29" customFormat="1" ht="12.75">
      <c r="A1025" s="178">
        <f t="shared" si="55"/>
        <v>940</v>
      </c>
      <c r="B1025" s="11"/>
      <c r="C1025" s="69" t="s">
        <v>257</v>
      </c>
      <c r="D1025" s="26"/>
      <c r="E1025" s="45" t="e">
        <f>#REF!+E1029+E1034+E1042+E1047+#REF!+E1052+#REF!</f>
        <v>#REF!</v>
      </c>
      <c r="F1025" s="26">
        <f>F1026+F1029+F1034+F1038+F1042+F1047+F1052+F1104</f>
        <v>7500</v>
      </c>
      <c r="G1025" s="26">
        <f>G1026+G1029+G1034+G1038+G1042+G1047+G1052+G1104</f>
        <v>34031</v>
      </c>
      <c r="H1025" s="26">
        <f>H1026+H1029+H1034+H1038+H1042+H1047+H1052+H1104</f>
        <v>33381.71</v>
      </c>
      <c r="I1025" s="199">
        <f t="shared" si="56"/>
        <v>0.9809206311892098</v>
      </c>
      <c r="J1025" s="129">
        <f>H1025/H$54</f>
        <v>0.0010505704527839937</v>
      </c>
    </row>
    <row r="1026" spans="1:10" s="61" customFormat="1" ht="12.75">
      <c r="A1026" s="178">
        <f t="shared" si="55"/>
        <v>941</v>
      </c>
      <c r="B1026" s="86">
        <v>4010</v>
      </c>
      <c r="C1026" s="80" t="s">
        <v>27</v>
      </c>
      <c r="D1026" s="85"/>
      <c r="E1026" s="83"/>
      <c r="F1026" s="85">
        <f>SUM(F1028)</f>
        <v>0</v>
      </c>
      <c r="G1026" s="85">
        <f>SUM(G1028)</f>
        <v>4583</v>
      </c>
      <c r="H1026" s="85">
        <f>SUM(H1028)</f>
        <v>4583</v>
      </c>
      <c r="I1026" s="199">
        <f aca="true" t="shared" si="57" ref="I1026:I1037">H1026/G1026</f>
        <v>1</v>
      </c>
      <c r="J1026" s="129">
        <f>H1026/H$54</f>
        <v>0.00014423360532186768</v>
      </c>
    </row>
    <row r="1027" spans="1:10" s="29" customFormat="1" ht="12.75">
      <c r="A1027" s="178">
        <f t="shared" si="55"/>
        <v>942</v>
      </c>
      <c r="B1027" s="11"/>
      <c r="C1027" s="80" t="s">
        <v>15</v>
      </c>
      <c r="D1027" s="26"/>
      <c r="E1027" s="45"/>
      <c r="F1027" s="85"/>
      <c r="G1027" s="160"/>
      <c r="H1027" s="160"/>
      <c r="I1027" s="199"/>
      <c r="J1027" s="129"/>
    </row>
    <row r="1028" spans="1:10" s="29" customFormat="1" ht="12.75">
      <c r="A1028" s="178">
        <f t="shared" si="55"/>
        <v>943</v>
      </c>
      <c r="B1028" s="11"/>
      <c r="C1028" s="80" t="s">
        <v>48</v>
      </c>
      <c r="D1028" s="26"/>
      <c r="E1028" s="45"/>
      <c r="F1028" s="85">
        <v>0</v>
      </c>
      <c r="G1028" s="160">
        <v>4583</v>
      </c>
      <c r="H1028" s="160">
        <v>4583</v>
      </c>
      <c r="I1028" s="199">
        <f t="shared" si="57"/>
        <v>1</v>
      </c>
      <c r="J1028" s="129">
        <f aca="true" t="shared" si="58" ref="J1028:J1041">H1028/H$54</f>
        <v>0.00014423360532186768</v>
      </c>
    </row>
    <row r="1029" spans="1:10" s="29" customFormat="1" ht="12.75">
      <c r="A1029" s="178">
        <f t="shared" si="55"/>
        <v>944</v>
      </c>
      <c r="B1029" s="4">
        <v>4110</v>
      </c>
      <c r="C1029" s="80" t="s">
        <v>32</v>
      </c>
      <c r="D1029" s="26"/>
      <c r="E1029" s="83">
        <f>E1031</f>
        <v>1500</v>
      </c>
      <c r="F1029" s="85">
        <f>SUM(F1031:F1032)</f>
        <v>0</v>
      </c>
      <c r="G1029" s="85">
        <f>SUM(G1031:G1032)</f>
        <v>790</v>
      </c>
      <c r="H1029" s="85">
        <f>SUM(H1031:H1032)</f>
        <v>790</v>
      </c>
      <c r="I1029" s="199">
        <f t="shared" si="57"/>
        <v>1</v>
      </c>
      <c r="J1029" s="129">
        <f t="shared" si="58"/>
        <v>2.4862436876342015E-05</v>
      </c>
    </row>
    <row r="1030" spans="1:10" s="29" customFormat="1" ht="12.75">
      <c r="A1030" s="178">
        <f t="shared" si="55"/>
        <v>945</v>
      </c>
      <c r="B1030" s="4"/>
      <c r="C1030" s="80" t="s">
        <v>15</v>
      </c>
      <c r="D1030" s="26"/>
      <c r="E1030" s="83"/>
      <c r="F1030" s="160"/>
      <c r="G1030" s="160"/>
      <c r="H1030" s="160"/>
      <c r="I1030" s="199"/>
      <c r="J1030" s="129"/>
    </row>
    <row r="1031" spans="1:10" s="29" customFormat="1" ht="12.75">
      <c r="A1031" s="178">
        <f t="shared" si="55"/>
        <v>946</v>
      </c>
      <c r="B1031" s="4"/>
      <c r="C1031" s="80" t="s">
        <v>166</v>
      </c>
      <c r="D1031" s="26"/>
      <c r="E1031" s="83">
        <v>1500</v>
      </c>
      <c r="F1031" s="160">
        <v>0</v>
      </c>
      <c r="G1031" s="160">
        <v>0</v>
      </c>
      <c r="H1031" s="160">
        <v>0</v>
      </c>
      <c r="I1031" s="199"/>
      <c r="J1031" s="129">
        <f t="shared" si="58"/>
        <v>0</v>
      </c>
    </row>
    <row r="1032" spans="1:10" s="29" customFormat="1" ht="12.75">
      <c r="A1032" s="178">
        <f t="shared" si="55"/>
        <v>947</v>
      </c>
      <c r="B1032" s="4"/>
      <c r="C1032" s="80" t="s">
        <v>48</v>
      </c>
      <c r="D1032" s="26"/>
      <c r="E1032" s="83"/>
      <c r="F1032" s="160">
        <v>0</v>
      </c>
      <c r="G1032" s="160">
        <v>790</v>
      </c>
      <c r="H1032" s="160">
        <v>790</v>
      </c>
      <c r="I1032" s="199">
        <f t="shared" si="57"/>
        <v>1</v>
      </c>
      <c r="J1032" s="129">
        <f t="shared" si="58"/>
        <v>2.4862436876342015E-05</v>
      </c>
    </row>
    <row r="1033" spans="1:10" s="29" customFormat="1" ht="12.75">
      <c r="A1033" s="178">
        <f t="shared" si="55"/>
        <v>948</v>
      </c>
      <c r="B1033" s="4"/>
      <c r="C1033" s="80"/>
      <c r="D1033" s="26"/>
      <c r="E1033" s="83"/>
      <c r="F1033" s="160"/>
      <c r="G1033" s="160"/>
      <c r="H1033" s="160"/>
      <c r="I1033" s="199"/>
      <c r="J1033" s="129"/>
    </row>
    <row r="1034" spans="1:10" s="29" customFormat="1" ht="12.75">
      <c r="A1034" s="178">
        <f>A1033+1</f>
        <v>949</v>
      </c>
      <c r="B1034" s="4">
        <v>4120</v>
      </c>
      <c r="C1034" s="80" t="s">
        <v>33</v>
      </c>
      <c r="D1034" s="26"/>
      <c r="E1034" s="83">
        <f>E1036</f>
        <v>200</v>
      </c>
      <c r="F1034" s="85">
        <f>SUM(F1036:F1037)</f>
        <v>0</v>
      </c>
      <c r="G1034" s="85">
        <f>SUM(G1036:G1037)</f>
        <v>113</v>
      </c>
      <c r="H1034" s="85">
        <f>SUM(H1036:H1037)</f>
        <v>113</v>
      </c>
      <c r="I1034" s="199">
        <f t="shared" si="57"/>
        <v>1</v>
      </c>
      <c r="J1034" s="129">
        <f t="shared" si="58"/>
        <v>3.5562726164894274E-06</v>
      </c>
    </row>
    <row r="1035" spans="1:10" s="29" customFormat="1" ht="12.75">
      <c r="A1035" s="178">
        <f>A1034+1</f>
        <v>950</v>
      </c>
      <c r="B1035" s="4"/>
      <c r="C1035" s="80" t="s">
        <v>15</v>
      </c>
      <c r="D1035" s="26"/>
      <c r="E1035" s="83"/>
      <c r="F1035" s="160"/>
      <c r="G1035" s="160"/>
      <c r="H1035" s="160"/>
      <c r="I1035" s="199"/>
      <c r="J1035" s="129"/>
    </row>
    <row r="1036" spans="1:10" s="29" customFormat="1" ht="12.75">
      <c r="A1036" s="178">
        <f>A1035+1</f>
        <v>951</v>
      </c>
      <c r="B1036" s="4"/>
      <c r="C1036" s="80" t="s">
        <v>166</v>
      </c>
      <c r="D1036" s="26"/>
      <c r="E1036" s="83">
        <v>200</v>
      </c>
      <c r="F1036" s="160">
        <v>0</v>
      </c>
      <c r="G1036" s="160">
        <v>0</v>
      </c>
      <c r="H1036" s="160">
        <v>0</v>
      </c>
      <c r="I1036" s="199"/>
      <c r="J1036" s="129">
        <f t="shared" si="58"/>
        <v>0</v>
      </c>
    </row>
    <row r="1037" spans="1:10" s="29" customFormat="1" ht="12.75">
      <c r="A1037" s="178">
        <f>A1036+1</f>
        <v>952</v>
      </c>
      <c r="B1037" s="4"/>
      <c r="C1037" s="80" t="s">
        <v>48</v>
      </c>
      <c r="D1037" s="26"/>
      <c r="E1037" s="83"/>
      <c r="F1037" s="160">
        <v>0</v>
      </c>
      <c r="G1037" s="160">
        <v>113</v>
      </c>
      <c r="H1037" s="160">
        <v>113</v>
      </c>
      <c r="I1037" s="199">
        <f t="shared" si="57"/>
        <v>1</v>
      </c>
      <c r="J1037" s="129">
        <f t="shared" si="58"/>
        <v>3.5562726164894274E-06</v>
      </c>
    </row>
    <row r="1038" spans="1:10" s="29" customFormat="1" ht="12.75">
      <c r="A1038" s="178">
        <f aca="true" t="shared" si="59" ref="A1038:A1043">A1037+1</f>
        <v>953</v>
      </c>
      <c r="B1038" s="4">
        <v>4170</v>
      </c>
      <c r="C1038" s="80" t="s">
        <v>258</v>
      </c>
      <c r="D1038" s="26"/>
      <c r="E1038" s="83"/>
      <c r="F1038" s="160">
        <f>SUM(F1040:F1041)</f>
        <v>0</v>
      </c>
      <c r="G1038" s="160">
        <f>SUM(G1040:G1041)</f>
        <v>1200</v>
      </c>
      <c r="H1038" s="160">
        <f>SUM(H1040:H1041)</f>
        <v>1200</v>
      </c>
      <c r="I1038" s="199">
        <f t="shared" si="56"/>
        <v>1</v>
      </c>
      <c r="J1038" s="129">
        <f t="shared" si="58"/>
        <v>3.776572690077268E-05</v>
      </c>
    </row>
    <row r="1039" spans="1:10" s="29" customFormat="1" ht="12.75">
      <c r="A1039" s="178">
        <f t="shared" si="59"/>
        <v>954</v>
      </c>
      <c r="B1039" s="4"/>
      <c r="C1039" s="80" t="s">
        <v>15</v>
      </c>
      <c r="D1039" s="26"/>
      <c r="E1039" s="83"/>
      <c r="F1039" s="160"/>
      <c r="G1039" s="160"/>
      <c r="H1039" s="160"/>
      <c r="I1039" s="199"/>
      <c r="J1039" s="129"/>
    </row>
    <row r="1040" spans="1:10" s="29" customFormat="1" ht="12.75">
      <c r="A1040" s="178">
        <f t="shared" si="59"/>
        <v>955</v>
      </c>
      <c r="B1040" s="4"/>
      <c r="C1040" s="80" t="s">
        <v>166</v>
      </c>
      <c r="D1040" s="26"/>
      <c r="E1040" s="83"/>
      <c r="F1040" s="160">
        <v>0</v>
      </c>
      <c r="G1040" s="160">
        <v>1200</v>
      </c>
      <c r="H1040" s="160">
        <v>1200</v>
      </c>
      <c r="I1040" s="199">
        <f t="shared" si="56"/>
        <v>1</v>
      </c>
      <c r="J1040" s="129">
        <f t="shared" si="58"/>
        <v>3.776572690077268E-05</v>
      </c>
    </row>
    <row r="1041" spans="1:10" s="29" customFormat="1" ht="12.75">
      <c r="A1041" s="178">
        <f t="shared" si="59"/>
        <v>956</v>
      </c>
      <c r="B1041" s="4"/>
      <c r="C1041" s="80" t="s">
        <v>48</v>
      </c>
      <c r="D1041" s="26"/>
      <c r="E1041" s="83"/>
      <c r="F1041" s="160">
        <v>0</v>
      </c>
      <c r="G1041" s="160">
        <v>0</v>
      </c>
      <c r="H1041" s="160">
        <v>0</v>
      </c>
      <c r="I1041" s="199"/>
      <c r="J1041" s="129">
        <f t="shared" si="58"/>
        <v>0</v>
      </c>
    </row>
    <row r="1042" spans="1:10" ht="12.75">
      <c r="A1042" s="178">
        <f>A1041+1</f>
        <v>957</v>
      </c>
      <c r="B1042" s="4">
        <v>4210</v>
      </c>
      <c r="C1042" s="80" t="s">
        <v>153</v>
      </c>
      <c r="D1042" s="25"/>
      <c r="E1042" s="46">
        <f>SUM(E1044)</f>
        <v>2000</v>
      </c>
      <c r="F1042" s="28">
        <f>SUM(F1044:F1046)</f>
        <v>1200</v>
      </c>
      <c r="G1042" s="28">
        <f>SUM(G1044:G1046)</f>
        <v>1360</v>
      </c>
      <c r="H1042" s="28">
        <f>SUM(H1044:H1046)</f>
        <v>1312.84</v>
      </c>
      <c r="I1042" s="199">
        <f t="shared" si="56"/>
        <v>0.9653235294117647</v>
      </c>
      <c r="J1042" s="129">
        <f aca="true" t="shared" si="60" ref="J1042:J1111">H1042/H$54</f>
        <v>4.1316964087008674E-05</v>
      </c>
    </row>
    <row r="1043" spans="1:10" ht="12.75">
      <c r="A1043" s="178">
        <f t="shared" si="59"/>
        <v>958</v>
      </c>
      <c r="B1043" s="4"/>
      <c r="C1043" s="80" t="s">
        <v>15</v>
      </c>
      <c r="D1043" s="25"/>
      <c r="E1043" s="47"/>
      <c r="F1043" s="154"/>
      <c r="G1043" s="154"/>
      <c r="H1043" s="154"/>
      <c r="I1043" s="199"/>
      <c r="J1043" s="129"/>
    </row>
    <row r="1044" spans="1:10" ht="12.75">
      <c r="A1044" s="178">
        <f aca="true" t="shared" si="61" ref="A1044:A1111">A1043+1</f>
        <v>959</v>
      </c>
      <c r="B1044" s="4"/>
      <c r="C1044" s="80" t="s">
        <v>165</v>
      </c>
      <c r="D1044" s="25"/>
      <c r="E1044" s="47">
        <f>52000-30000-20000</f>
        <v>2000</v>
      </c>
      <c r="F1044" s="154">
        <v>0</v>
      </c>
      <c r="G1044" s="154">
        <v>0</v>
      </c>
      <c r="H1044" s="154">
        <v>0</v>
      </c>
      <c r="I1044" s="199"/>
      <c r="J1044" s="129">
        <f t="shared" si="60"/>
        <v>0</v>
      </c>
    </row>
    <row r="1045" spans="1:10" ht="12.75">
      <c r="A1045" s="178">
        <f t="shared" si="61"/>
        <v>960</v>
      </c>
      <c r="B1045" s="4"/>
      <c r="C1045" s="80" t="s">
        <v>166</v>
      </c>
      <c r="D1045" s="25"/>
      <c r="E1045" s="47"/>
      <c r="F1045" s="154">
        <v>0</v>
      </c>
      <c r="G1045" s="154">
        <v>160</v>
      </c>
      <c r="H1045" s="154">
        <v>151.84</v>
      </c>
      <c r="I1045" s="199">
        <f t="shared" si="56"/>
        <v>0.9490000000000001</v>
      </c>
      <c r="J1045" s="129">
        <f t="shared" si="60"/>
        <v>4.7786233105111034E-06</v>
      </c>
    </row>
    <row r="1046" spans="1:10" ht="12.75">
      <c r="A1046" s="178">
        <f t="shared" si="61"/>
        <v>961</v>
      </c>
      <c r="B1046" s="4"/>
      <c r="C1046" s="80" t="s">
        <v>48</v>
      </c>
      <c r="D1046" s="25"/>
      <c r="E1046" s="47"/>
      <c r="F1046" s="154">
        <v>1200</v>
      </c>
      <c r="G1046" s="154">
        <v>1200</v>
      </c>
      <c r="H1046" s="154">
        <v>1161</v>
      </c>
      <c r="I1046" s="199">
        <f t="shared" si="56"/>
        <v>0.9675</v>
      </c>
      <c r="J1046" s="129">
        <f t="shared" si="60"/>
        <v>3.653834077649757E-05</v>
      </c>
    </row>
    <row r="1047" spans="1:10" ht="12.75">
      <c r="A1047" s="178">
        <f>A1046+1</f>
        <v>962</v>
      </c>
      <c r="B1047" s="4">
        <v>4260</v>
      </c>
      <c r="C1047" s="80" t="s">
        <v>155</v>
      </c>
      <c r="D1047" s="25"/>
      <c r="E1047" s="48">
        <f>SUM(E1049)</f>
        <v>9500</v>
      </c>
      <c r="F1047" s="23">
        <f>SUM(F1049:F1051)</f>
        <v>4800</v>
      </c>
      <c r="G1047" s="23">
        <f>SUM(G1049:G1051)</f>
        <v>23844</v>
      </c>
      <c r="H1047" s="23">
        <f>SUM(H1049:H1051)</f>
        <v>23293.28</v>
      </c>
      <c r="I1047" s="199">
        <f t="shared" si="56"/>
        <v>0.9769032041603757</v>
      </c>
      <c r="J1047" s="129">
        <f t="shared" si="60"/>
        <v>0.0007330730425860252</v>
      </c>
    </row>
    <row r="1048" spans="1:10" ht="12.75">
      <c r="A1048" s="178">
        <f t="shared" si="61"/>
        <v>963</v>
      </c>
      <c r="B1048" s="4"/>
      <c r="C1048" s="80" t="s">
        <v>15</v>
      </c>
      <c r="D1048" s="25"/>
      <c r="E1048" s="47"/>
      <c r="F1048" s="154"/>
      <c r="G1048" s="154"/>
      <c r="H1048" s="154"/>
      <c r="I1048" s="199"/>
      <c r="J1048" s="129"/>
    </row>
    <row r="1049" spans="1:10" ht="12.75">
      <c r="A1049" s="178">
        <f t="shared" si="61"/>
        <v>964</v>
      </c>
      <c r="B1049" s="4"/>
      <c r="C1049" s="80" t="s">
        <v>165</v>
      </c>
      <c r="D1049" s="25"/>
      <c r="E1049" s="47">
        <v>9500</v>
      </c>
      <c r="F1049" s="154">
        <v>0</v>
      </c>
      <c r="G1049" s="154">
        <v>17594</v>
      </c>
      <c r="H1049" s="154">
        <v>17593.16</v>
      </c>
      <c r="I1049" s="199"/>
      <c r="J1049" s="129">
        <f t="shared" si="60"/>
        <v>0.0005536820632346649</v>
      </c>
    </row>
    <row r="1050" spans="1:10" ht="12.75">
      <c r="A1050" s="178">
        <f t="shared" si="61"/>
        <v>965</v>
      </c>
      <c r="B1050" s="4"/>
      <c r="C1050" s="80" t="s">
        <v>166</v>
      </c>
      <c r="D1050" s="25"/>
      <c r="E1050" s="47"/>
      <c r="F1050" s="154">
        <v>0</v>
      </c>
      <c r="G1050" s="154">
        <v>1450</v>
      </c>
      <c r="H1050" s="154">
        <v>902.89</v>
      </c>
      <c r="I1050" s="199">
        <f t="shared" si="56"/>
        <v>0.6226827586206897</v>
      </c>
      <c r="J1050" s="129">
        <f t="shared" si="60"/>
        <v>2.8415247634532205E-05</v>
      </c>
    </row>
    <row r="1051" spans="1:10" ht="12.75">
      <c r="A1051" s="178">
        <f t="shared" si="61"/>
        <v>966</v>
      </c>
      <c r="B1051" s="4"/>
      <c r="C1051" s="80" t="s">
        <v>48</v>
      </c>
      <c r="D1051" s="25"/>
      <c r="E1051" s="47"/>
      <c r="F1051" s="154">
        <v>4800</v>
      </c>
      <c r="G1051" s="154">
        <v>4800</v>
      </c>
      <c r="H1051" s="154">
        <v>4797.23</v>
      </c>
      <c r="I1051" s="199">
        <f t="shared" si="56"/>
        <v>0.9994229166666666</v>
      </c>
      <c r="J1051" s="129">
        <f t="shared" si="60"/>
        <v>0.0001509757317168281</v>
      </c>
    </row>
    <row r="1052" spans="1:10" ht="12.75">
      <c r="A1052" s="178">
        <f t="shared" si="61"/>
        <v>967</v>
      </c>
      <c r="B1052" s="4">
        <v>4300</v>
      </c>
      <c r="C1052" s="80" t="s">
        <v>163</v>
      </c>
      <c r="D1052" s="25"/>
      <c r="E1052" s="46">
        <f>SUM(E1054:E1055)</f>
        <v>8000</v>
      </c>
      <c r="F1052" s="28">
        <f>SUM(F1054:F1056)</f>
        <v>1500</v>
      </c>
      <c r="G1052" s="28">
        <f>SUM(G1054:G1056)</f>
        <v>1710</v>
      </c>
      <c r="H1052" s="28">
        <f>SUM(H1054:H1056)</f>
        <v>1658.83</v>
      </c>
      <c r="I1052" s="199">
        <f t="shared" si="56"/>
        <v>0.9700760233918129</v>
      </c>
      <c r="J1052" s="129">
        <f t="shared" si="60"/>
        <v>5.220576729567396E-05</v>
      </c>
    </row>
    <row r="1053" spans="1:10" ht="12.75">
      <c r="A1053" s="178">
        <f t="shared" si="61"/>
        <v>968</v>
      </c>
      <c r="B1053" s="4"/>
      <c r="C1053" s="80" t="s">
        <v>15</v>
      </c>
      <c r="D1053" s="25"/>
      <c r="E1053" s="47"/>
      <c r="F1053" s="154"/>
      <c r="G1053" s="154"/>
      <c r="H1053" s="154"/>
      <c r="I1053" s="199"/>
      <c r="J1053" s="129"/>
    </row>
    <row r="1054" spans="1:10" ht="12.75">
      <c r="A1054" s="178">
        <f t="shared" si="61"/>
        <v>969</v>
      </c>
      <c r="B1054" s="4"/>
      <c r="C1054" s="80" t="s">
        <v>165</v>
      </c>
      <c r="D1054" s="25"/>
      <c r="E1054" s="47">
        <v>8000</v>
      </c>
      <c r="F1054" s="154">
        <v>0</v>
      </c>
      <c r="G1054" s="154">
        <v>0</v>
      </c>
      <c r="H1054" s="154">
        <v>0</v>
      </c>
      <c r="I1054" s="199"/>
      <c r="J1054" s="129">
        <f t="shared" si="60"/>
        <v>0</v>
      </c>
    </row>
    <row r="1055" spans="1:10" ht="12.75">
      <c r="A1055" s="178">
        <f t="shared" si="61"/>
        <v>970</v>
      </c>
      <c r="B1055" s="4"/>
      <c r="C1055" s="80" t="s">
        <v>166</v>
      </c>
      <c r="D1055" s="25"/>
      <c r="E1055" s="47">
        <v>0</v>
      </c>
      <c r="F1055" s="154">
        <v>0</v>
      </c>
      <c r="G1055" s="154">
        <v>210</v>
      </c>
      <c r="H1055" s="154">
        <v>159.5</v>
      </c>
      <c r="I1055" s="199">
        <f aca="true" t="shared" si="62" ref="I1055:I1117">H1055/G1055</f>
        <v>0.7595238095238095</v>
      </c>
      <c r="J1055" s="129">
        <f t="shared" si="60"/>
        <v>5.019694533894369E-06</v>
      </c>
    </row>
    <row r="1056" spans="1:10" ht="12.75">
      <c r="A1056" s="178">
        <f t="shared" si="61"/>
        <v>971</v>
      </c>
      <c r="B1056" s="4"/>
      <c r="C1056" s="80" t="s">
        <v>48</v>
      </c>
      <c r="D1056" s="25"/>
      <c r="E1056" s="47"/>
      <c r="F1056" s="154">
        <v>1500</v>
      </c>
      <c r="G1056" s="154">
        <v>1500</v>
      </c>
      <c r="H1056" s="154">
        <v>1499.33</v>
      </c>
      <c r="I1056" s="199">
        <f t="shared" si="62"/>
        <v>0.9995533333333333</v>
      </c>
      <c r="J1056" s="129">
        <f t="shared" si="60"/>
        <v>4.7186072761779585E-05</v>
      </c>
    </row>
    <row r="1057" spans="1:10" s="74" customFormat="1" ht="12.75" hidden="1">
      <c r="A1057" s="178">
        <f t="shared" si="61"/>
        <v>972</v>
      </c>
      <c r="B1057" s="63">
        <v>85414</v>
      </c>
      <c r="C1057" s="69" t="s">
        <v>197</v>
      </c>
      <c r="D1057" s="64"/>
      <c r="E1057" s="65">
        <f>E1058+E1062+E1066+E1070+E1074+E1078+E1082+E1086+E1090+E1095+E1099</f>
        <v>270900</v>
      </c>
      <c r="F1057" s="164">
        <v>0</v>
      </c>
      <c r="G1057" s="164"/>
      <c r="H1057" s="164"/>
      <c r="I1057" s="199" t="e">
        <f t="shared" si="62"/>
        <v>#DIV/0!</v>
      </c>
      <c r="J1057" s="129">
        <f t="shared" si="60"/>
        <v>0</v>
      </c>
    </row>
    <row r="1058" spans="1:10" ht="12.75" hidden="1">
      <c r="A1058" s="178">
        <f t="shared" si="61"/>
        <v>973</v>
      </c>
      <c r="B1058" s="4">
        <v>3020</v>
      </c>
      <c r="C1058" s="80" t="s">
        <v>41</v>
      </c>
      <c r="D1058" s="25"/>
      <c r="E1058" s="46">
        <f>SUM(E1060:E1061)</f>
        <v>1800</v>
      </c>
      <c r="F1058" s="154"/>
      <c r="G1058" s="154"/>
      <c r="H1058" s="154"/>
      <c r="I1058" s="199" t="e">
        <f t="shared" si="62"/>
        <v>#DIV/0!</v>
      </c>
      <c r="J1058" s="129">
        <f t="shared" si="60"/>
        <v>0</v>
      </c>
    </row>
    <row r="1059" spans="1:10" ht="12.75" hidden="1">
      <c r="A1059" s="178">
        <f t="shared" si="61"/>
        <v>974</v>
      </c>
      <c r="B1059" s="4"/>
      <c r="C1059" s="80" t="s">
        <v>15</v>
      </c>
      <c r="D1059" s="25"/>
      <c r="E1059" s="47"/>
      <c r="F1059" s="154"/>
      <c r="G1059" s="154"/>
      <c r="H1059" s="154"/>
      <c r="I1059" s="199" t="e">
        <f t="shared" si="62"/>
        <v>#DIV/0!</v>
      </c>
      <c r="J1059" s="129">
        <f t="shared" si="60"/>
        <v>0</v>
      </c>
    </row>
    <row r="1060" spans="1:10" ht="12.75" hidden="1">
      <c r="A1060" s="178">
        <f t="shared" si="61"/>
        <v>975</v>
      </c>
      <c r="B1060" s="4"/>
      <c r="C1060" s="80" t="s">
        <v>165</v>
      </c>
      <c r="D1060" s="25"/>
      <c r="E1060" s="47">
        <v>800</v>
      </c>
      <c r="F1060" s="154"/>
      <c r="G1060" s="154"/>
      <c r="H1060" s="154"/>
      <c r="I1060" s="199" t="e">
        <f t="shared" si="62"/>
        <v>#DIV/0!</v>
      </c>
      <c r="J1060" s="129">
        <f t="shared" si="60"/>
        <v>0</v>
      </c>
    </row>
    <row r="1061" spans="1:10" ht="12.75" hidden="1">
      <c r="A1061" s="178">
        <f t="shared" si="61"/>
        <v>976</v>
      </c>
      <c r="B1061" s="4"/>
      <c r="C1061" s="80" t="s">
        <v>48</v>
      </c>
      <c r="D1061" s="25"/>
      <c r="E1061" s="47">
        <v>1000</v>
      </c>
      <c r="F1061" s="154"/>
      <c r="G1061" s="154"/>
      <c r="H1061" s="154"/>
      <c r="I1061" s="199" t="e">
        <f t="shared" si="62"/>
        <v>#DIV/0!</v>
      </c>
      <c r="J1061" s="129">
        <f t="shared" si="60"/>
        <v>0</v>
      </c>
    </row>
    <row r="1062" spans="1:10" ht="12.75" hidden="1">
      <c r="A1062" s="178">
        <f t="shared" si="61"/>
        <v>977</v>
      </c>
      <c r="B1062" s="4">
        <v>4010</v>
      </c>
      <c r="C1062" s="80" t="s">
        <v>27</v>
      </c>
      <c r="D1062" s="25"/>
      <c r="E1062" s="46">
        <f>SUM(E1064:E1065)</f>
        <v>84200</v>
      </c>
      <c r="F1062" s="154"/>
      <c r="G1062" s="154"/>
      <c r="H1062" s="154"/>
      <c r="I1062" s="199" t="e">
        <f t="shared" si="62"/>
        <v>#DIV/0!</v>
      </c>
      <c r="J1062" s="129">
        <f t="shared" si="60"/>
        <v>0</v>
      </c>
    </row>
    <row r="1063" spans="1:10" ht="12.75" hidden="1">
      <c r="A1063" s="178">
        <f t="shared" si="61"/>
        <v>978</v>
      </c>
      <c r="B1063" s="4"/>
      <c r="C1063" s="80" t="s">
        <v>15</v>
      </c>
      <c r="D1063" s="25"/>
      <c r="E1063" s="47"/>
      <c r="F1063" s="154"/>
      <c r="G1063" s="154"/>
      <c r="H1063" s="154"/>
      <c r="I1063" s="199" t="e">
        <f t="shared" si="62"/>
        <v>#DIV/0!</v>
      </c>
      <c r="J1063" s="129">
        <f t="shared" si="60"/>
        <v>0</v>
      </c>
    </row>
    <row r="1064" spans="1:10" ht="12.75" hidden="1">
      <c r="A1064" s="178">
        <f t="shared" si="61"/>
        <v>979</v>
      </c>
      <c r="B1064" s="4"/>
      <c r="C1064" s="80" t="s">
        <v>165</v>
      </c>
      <c r="D1064" s="25"/>
      <c r="E1064" s="47">
        <v>42300</v>
      </c>
      <c r="F1064" s="154"/>
      <c r="G1064" s="154"/>
      <c r="H1064" s="154"/>
      <c r="I1064" s="199" t="e">
        <f t="shared" si="62"/>
        <v>#DIV/0!</v>
      </c>
      <c r="J1064" s="129">
        <f t="shared" si="60"/>
        <v>0</v>
      </c>
    </row>
    <row r="1065" spans="1:10" ht="12.75" hidden="1">
      <c r="A1065" s="178">
        <f t="shared" si="61"/>
        <v>980</v>
      </c>
      <c r="B1065" s="4"/>
      <c r="C1065" s="80" t="s">
        <v>48</v>
      </c>
      <c r="D1065" s="25"/>
      <c r="E1065" s="47">
        <v>41900</v>
      </c>
      <c r="F1065" s="154"/>
      <c r="G1065" s="154"/>
      <c r="H1065" s="154"/>
      <c r="I1065" s="199" t="e">
        <f t="shared" si="62"/>
        <v>#DIV/0!</v>
      </c>
      <c r="J1065" s="129">
        <f t="shared" si="60"/>
        <v>0</v>
      </c>
    </row>
    <row r="1066" spans="1:10" ht="12.75" hidden="1">
      <c r="A1066" s="178">
        <f t="shared" si="61"/>
        <v>981</v>
      </c>
      <c r="B1066" s="4">
        <v>4040</v>
      </c>
      <c r="C1066" s="80" t="s">
        <v>28</v>
      </c>
      <c r="D1066" s="25"/>
      <c r="E1066" s="46">
        <f>SUM(E1068:E1069)</f>
        <v>6800</v>
      </c>
      <c r="F1066" s="154"/>
      <c r="G1066" s="154"/>
      <c r="H1066" s="154"/>
      <c r="I1066" s="199" t="e">
        <f t="shared" si="62"/>
        <v>#DIV/0!</v>
      </c>
      <c r="J1066" s="129">
        <f t="shared" si="60"/>
        <v>0</v>
      </c>
    </row>
    <row r="1067" spans="1:10" ht="12.75" hidden="1">
      <c r="A1067" s="178">
        <f t="shared" si="61"/>
        <v>982</v>
      </c>
      <c r="B1067" s="4"/>
      <c r="C1067" s="80" t="s">
        <v>15</v>
      </c>
      <c r="D1067" s="25"/>
      <c r="E1067" s="47"/>
      <c r="F1067" s="154"/>
      <c r="G1067" s="154"/>
      <c r="H1067" s="154"/>
      <c r="I1067" s="199" t="e">
        <f t="shared" si="62"/>
        <v>#DIV/0!</v>
      </c>
      <c r="J1067" s="129">
        <f t="shared" si="60"/>
        <v>0</v>
      </c>
    </row>
    <row r="1068" spans="1:10" ht="12.75" hidden="1">
      <c r="A1068" s="178">
        <f t="shared" si="61"/>
        <v>983</v>
      </c>
      <c r="B1068" s="4"/>
      <c r="C1068" s="80" t="s">
        <v>165</v>
      </c>
      <c r="D1068" s="25"/>
      <c r="E1068" s="47">
        <v>3500</v>
      </c>
      <c r="F1068" s="154"/>
      <c r="G1068" s="154"/>
      <c r="H1068" s="154"/>
      <c r="I1068" s="199" t="e">
        <f t="shared" si="62"/>
        <v>#DIV/0!</v>
      </c>
      <c r="J1068" s="129">
        <f t="shared" si="60"/>
        <v>0</v>
      </c>
    </row>
    <row r="1069" spans="1:10" ht="12.75" hidden="1">
      <c r="A1069" s="178">
        <f t="shared" si="61"/>
        <v>984</v>
      </c>
      <c r="B1069" s="4"/>
      <c r="C1069" s="80" t="s">
        <v>48</v>
      </c>
      <c r="D1069" s="25"/>
      <c r="E1069" s="47">
        <v>3300</v>
      </c>
      <c r="F1069" s="154"/>
      <c r="G1069" s="154"/>
      <c r="H1069" s="154"/>
      <c r="I1069" s="199" t="e">
        <f t="shared" si="62"/>
        <v>#DIV/0!</v>
      </c>
      <c r="J1069" s="129">
        <f t="shared" si="60"/>
        <v>0</v>
      </c>
    </row>
    <row r="1070" spans="1:10" ht="12.75" hidden="1">
      <c r="A1070" s="178">
        <f t="shared" si="61"/>
        <v>985</v>
      </c>
      <c r="B1070" s="4">
        <v>4110</v>
      </c>
      <c r="C1070" s="80" t="s">
        <v>45</v>
      </c>
      <c r="D1070" s="25"/>
      <c r="E1070" s="46">
        <f>SUM(E1072:E1073)</f>
        <v>16100</v>
      </c>
      <c r="F1070" s="154"/>
      <c r="G1070" s="154"/>
      <c r="H1070" s="154"/>
      <c r="I1070" s="199" t="e">
        <f t="shared" si="62"/>
        <v>#DIV/0!</v>
      </c>
      <c r="J1070" s="129">
        <f t="shared" si="60"/>
        <v>0</v>
      </c>
    </row>
    <row r="1071" spans="1:10" ht="12.75" hidden="1">
      <c r="A1071" s="178">
        <f t="shared" si="61"/>
        <v>986</v>
      </c>
      <c r="B1071" s="4"/>
      <c r="C1071" s="80" t="s">
        <v>15</v>
      </c>
      <c r="D1071" s="25"/>
      <c r="E1071" s="47"/>
      <c r="F1071" s="154"/>
      <c r="G1071" s="154"/>
      <c r="H1071" s="154"/>
      <c r="I1071" s="199" t="e">
        <f t="shared" si="62"/>
        <v>#DIV/0!</v>
      </c>
      <c r="J1071" s="129">
        <f t="shared" si="60"/>
        <v>0</v>
      </c>
    </row>
    <row r="1072" spans="1:10" ht="12.75" hidden="1">
      <c r="A1072" s="178">
        <f t="shared" si="61"/>
        <v>987</v>
      </c>
      <c r="B1072" s="4"/>
      <c r="C1072" s="80" t="s">
        <v>165</v>
      </c>
      <c r="D1072" s="25"/>
      <c r="E1072" s="47">
        <v>8000</v>
      </c>
      <c r="F1072" s="154"/>
      <c r="G1072" s="154"/>
      <c r="H1072" s="154"/>
      <c r="I1072" s="199" t="e">
        <f t="shared" si="62"/>
        <v>#DIV/0!</v>
      </c>
      <c r="J1072" s="129">
        <f t="shared" si="60"/>
        <v>0</v>
      </c>
    </row>
    <row r="1073" spans="1:10" ht="12.75" hidden="1">
      <c r="A1073" s="178">
        <f t="shared" si="61"/>
        <v>988</v>
      </c>
      <c r="B1073" s="4"/>
      <c r="C1073" s="80" t="s">
        <v>48</v>
      </c>
      <c r="D1073" s="25"/>
      <c r="E1073" s="47">
        <v>8100</v>
      </c>
      <c r="F1073" s="154"/>
      <c r="G1073" s="154"/>
      <c r="H1073" s="154"/>
      <c r="I1073" s="199" t="e">
        <f t="shared" si="62"/>
        <v>#DIV/0!</v>
      </c>
      <c r="J1073" s="129">
        <f t="shared" si="60"/>
        <v>0</v>
      </c>
    </row>
    <row r="1074" spans="1:10" ht="12.75" hidden="1">
      <c r="A1074" s="178">
        <f t="shared" si="61"/>
        <v>989</v>
      </c>
      <c r="B1074" s="4">
        <v>4120</v>
      </c>
      <c r="C1074" s="80" t="s">
        <v>33</v>
      </c>
      <c r="D1074" s="25"/>
      <c r="E1074" s="46">
        <f>SUM(E1076:E1077)</f>
        <v>2200</v>
      </c>
      <c r="F1074" s="154"/>
      <c r="G1074" s="154"/>
      <c r="H1074" s="154"/>
      <c r="I1074" s="199" t="e">
        <f t="shared" si="62"/>
        <v>#DIV/0!</v>
      </c>
      <c r="J1074" s="129">
        <f t="shared" si="60"/>
        <v>0</v>
      </c>
    </row>
    <row r="1075" spans="1:10" ht="12.75" hidden="1">
      <c r="A1075" s="178">
        <f t="shared" si="61"/>
        <v>990</v>
      </c>
      <c r="B1075" s="4"/>
      <c r="C1075" s="80" t="s">
        <v>15</v>
      </c>
      <c r="D1075" s="25"/>
      <c r="E1075" s="47"/>
      <c r="F1075" s="154"/>
      <c r="G1075" s="154"/>
      <c r="H1075" s="154"/>
      <c r="I1075" s="199" t="e">
        <f t="shared" si="62"/>
        <v>#DIV/0!</v>
      </c>
      <c r="J1075" s="129">
        <f t="shared" si="60"/>
        <v>0</v>
      </c>
    </row>
    <row r="1076" spans="1:10" ht="12.75" hidden="1">
      <c r="A1076" s="178">
        <f t="shared" si="61"/>
        <v>991</v>
      </c>
      <c r="B1076" s="4"/>
      <c r="C1076" s="80" t="s">
        <v>165</v>
      </c>
      <c r="D1076" s="25"/>
      <c r="E1076" s="47">
        <v>1100</v>
      </c>
      <c r="F1076" s="154"/>
      <c r="G1076" s="154"/>
      <c r="H1076" s="154"/>
      <c r="I1076" s="199" t="e">
        <f t="shared" si="62"/>
        <v>#DIV/0!</v>
      </c>
      <c r="J1076" s="129">
        <f t="shared" si="60"/>
        <v>0</v>
      </c>
    </row>
    <row r="1077" spans="1:10" ht="12.75" hidden="1">
      <c r="A1077" s="178">
        <f t="shared" si="61"/>
        <v>992</v>
      </c>
      <c r="B1077" s="4"/>
      <c r="C1077" s="80" t="s">
        <v>48</v>
      </c>
      <c r="D1077" s="25"/>
      <c r="E1077" s="47">
        <v>1100</v>
      </c>
      <c r="F1077" s="154"/>
      <c r="G1077" s="154"/>
      <c r="H1077" s="154"/>
      <c r="I1077" s="199" t="e">
        <f t="shared" si="62"/>
        <v>#DIV/0!</v>
      </c>
      <c r="J1077" s="129">
        <f t="shared" si="60"/>
        <v>0</v>
      </c>
    </row>
    <row r="1078" spans="1:10" ht="12.75" hidden="1">
      <c r="A1078" s="178">
        <f t="shared" si="61"/>
        <v>993</v>
      </c>
      <c r="B1078" s="4">
        <v>4210</v>
      </c>
      <c r="C1078" s="80" t="s">
        <v>153</v>
      </c>
      <c r="D1078" s="25"/>
      <c r="E1078" s="46">
        <f>SUM(E1080:E1081)</f>
        <v>12200</v>
      </c>
      <c r="F1078" s="154"/>
      <c r="G1078" s="154"/>
      <c r="H1078" s="154"/>
      <c r="I1078" s="199" t="e">
        <f t="shared" si="62"/>
        <v>#DIV/0!</v>
      </c>
      <c r="J1078" s="129">
        <f t="shared" si="60"/>
        <v>0</v>
      </c>
    </row>
    <row r="1079" spans="1:10" ht="12.75" hidden="1">
      <c r="A1079" s="178">
        <f t="shared" si="61"/>
        <v>994</v>
      </c>
      <c r="B1079" s="4"/>
      <c r="C1079" s="80" t="s">
        <v>15</v>
      </c>
      <c r="D1079" s="25"/>
      <c r="E1079" s="47"/>
      <c r="F1079" s="154"/>
      <c r="G1079" s="154"/>
      <c r="H1079" s="154"/>
      <c r="I1079" s="199" t="e">
        <f t="shared" si="62"/>
        <v>#DIV/0!</v>
      </c>
      <c r="J1079" s="129">
        <f t="shared" si="60"/>
        <v>0</v>
      </c>
    </row>
    <row r="1080" spans="1:10" ht="12.75" hidden="1">
      <c r="A1080" s="178">
        <f t="shared" si="61"/>
        <v>995</v>
      </c>
      <c r="B1080" s="4"/>
      <c r="C1080" s="80" t="s">
        <v>165</v>
      </c>
      <c r="D1080" s="25"/>
      <c r="E1080" s="47">
        <v>9200</v>
      </c>
      <c r="F1080" s="154"/>
      <c r="G1080" s="154"/>
      <c r="H1080" s="154"/>
      <c r="I1080" s="199" t="e">
        <f t="shared" si="62"/>
        <v>#DIV/0!</v>
      </c>
      <c r="J1080" s="129">
        <f t="shared" si="60"/>
        <v>0</v>
      </c>
    </row>
    <row r="1081" spans="1:10" ht="12.75" hidden="1">
      <c r="A1081" s="178">
        <f t="shared" si="61"/>
        <v>996</v>
      </c>
      <c r="B1081" s="4"/>
      <c r="C1081" s="80" t="s">
        <v>48</v>
      </c>
      <c r="D1081" s="25"/>
      <c r="E1081" s="47">
        <v>3000</v>
      </c>
      <c r="F1081" s="154"/>
      <c r="G1081" s="154"/>
      <c r="H1081" s="154"/>
      <c r="I1081" s="199" t="e">
        <f t="shared" si="62"/>
        <v>#DIV/0!</v>
      </c>
      <c r="J1081" s="129">
        <f t="shared" si="60"/>
        <v>0</v>
      </c>
    </row>
    <row r="1082" spans="1:10" ht="12.75" hidden="1">
      <c r="A1082" s="178">
        <f t="shared" si="61"/>
        <v>997</v>
      </c>
      <c r="B1082" s="4">
        <v>4220</v>
      </c>
      <c r="C1082" s="80" t="s">
        <v>159</v>
      </c>
      <c r="D1082" s="25"/>
      <c r="E1082" s="46">
        <f>SUM(E1084:E1085)</f>
        <v>130500</v>
      </c>
      <c r="F1082" s="154"/>
      <c r="G1082" s="154"/>
      <c r="H1082" s="154"/>
      <c r="I1082" s="199" t="e">
        <f t="shared" si="62"/>
        <v>#DIV/0!</v>
      </c>
      <c r="J1082" s="129">
        <f t="shared" si="60"/>
        <v>0</v>
      </c>
    </row>
    <row r="1083" spans="1:10" ht="12.75" hidden="1">
      <c r="A1083" s="178">
        <f t="shared" si="61"/>
        <v>998</v>
      </c>
      <c r="B1083" s="4"/>
      <c r="C1083" s="80" t="s">
        <v>15</v>
      </c>
      <c r="D1083" s="25"/>
      <c r="E1083" s="47"/>
      <c r="F1083" s="154"/>
      <c r="G1083" s="154"/>
      <c r="H1083" s="154"/>
      <c r="I1083" s="199" t="e">
        <f t="shared" si="62"/>
        <v>#DIV/0!</v>
      </c>
      <c r="J1083" s="129">
        <f t="shared" si="60"/>
        <v>0</v>
      </c>
    </row>
    <row r="1084" spans="1:10" ht="12.75" hidden="1">
      <c r="A1084" s="178">
        <f t="shared" si="61"/>
        <v>999</v>
      </c>
      <c r="B1084" s="4"/>
      <c r="C1084" s="80" t="s">
        <v>165</v>
      </c>
      <c r="D1084" s="25"/>
      <c r="E1084" s="47">
        <v>64000</v>
      </c>
      <c r="F1084" s="154"/>
      <c r="G1084" s="154"/>
      <c r="H1084" s="154"/>
      <c r="I1084" s="199" t="e">
        <f t="shared" si="62"/>
        <v>#DIV/0!</v>
      </c>
      <c r="J1084" s="129">
        <f t="shared" si="60"/>
        <v>0</v>
      </c>
    </row>
    <row r="1085" spans="1:10" ht="12.75" hidden="1">
      <c r="A1085" s="178">
        <f t="shared" si="61"/>
        <v>1000</v>
      </c>
      <c r="B1085" s="4"/>
      <c r="C1085" s="80" t="s">
        <v>48</v>
      </c>
      <c r="D1085" s="25"/>
      <c r="E1085" s="47">
        <v>66500</v>
      </c>
      <c r="F1085" s="154"/>
      <c r="G1085" s="154"/>
      <c r="H1085" s="154"/>
      <c r="I1085" s="199" t="e">
        <f t="shared" si="62"/>
        <v>#DIV/0!</v>
      </c>
      <c r="J1085" s="129">
        <f t="shared" si="60"/>
        <v>0</v>
      </c>
    </row>
    <row r="1086" spans="1:10" ht="12.75" hidden="1">
      <c r="A1086" s="178">
        <f t="shared" si="61"/>
        <v>1001</v>
      </c>
      <c r="B1086" s="4">
        <v>4260</v>
      </c>
      <c r="C1086" s="80" t="s">
        <v>155</v>
      </c>
      <c r="D1086" s="25"/>
      <c r="E1086" s="46">
        <f>SUM(E1088:E1089)</f>
        <v>5700</v>
      </c>
      <c r="F1086" s="154"/>
      <c r="G1086" s="154"/>
      <c r="H1086" s="154"/>
      <c r="I1086" s="199" t="e">
        <f t="shared" si="62"/>
        <v>#DIV/0!</v>
      </c>
      <c r="J1086" s="129">
        <f t="shared" si="60"/>
        <v>0</v>
      </c>
    </row>
    <row r="1087" spans="1:10" ht="12.75" hidden="1">
      <c r="A1087" s="178">
        <f t="shared" si="61"/>
        <v>1002</v>
      </c>
      <c r="B1087" s="4"/>
      <c r="C1087" s="80" t="s">
        <v>15</v>
      </c>
      <c r="D1087" s="25"/>
      <c r="E1087" s="47"/>
      <c r="F1087" s="154"/>
      <c r="G1087" s="154"/>
      <c r="H1087" s="154"/>
      <c r="I1087" s="199" t="e">
        <f t="shared" si="62"/>
        <v>#DIV/0!</v>
      </c>
      <c r="J1087" s="129">
        <f t="shared" si="60"/>
        <v>0</v>
      </c>
    </row>
    <row r="1088" spans="1:10" ht="12.75" hidden="1">
      <c r="A1088" s="178">
        <f t="shared" si="61"/>
        <v>1003</v>
      </c>
      <c r="B1088" s="4"/>
      <c r="C1088" s="80" t="s">
        <v>165</v>
      </c>
      <c r="D1088" s="25"/>
      <c r="E1088" s="47">
        <v>3200</v>
      </c>
      <c r="F1088" s="154"/>
      <c r="G1088" s="154"/>
      <c r="H1088" s="154"/>
      <c r="I1088" s="199" t="e">
        <f t="shared" si="62"/>
        <v>#DIV/0!</v>
      </c>
      <c r="J1088" s="129">
        <f t="shared" si="60"/>
        <v>0</v>
      </c>
    </row>
    <row r="1089" spans="1:10" ht="12.75" hidden="1">
      <c r="A1089" s="178">
        <f t="shared" si="61"/>
        <v>1004</v>
      </c>
      <c r="B1089" s="4"/>
      <c r="C1089" s="80" t="s">
        <v>48</v>
      </c>
      <c r="D1089" s="25"/>
      <c r="E1089" s="47">
        <v>2500</v>
      </c>
      <c r="F1089" s="154"/>
      <c r="G1089" s="154"/>
      <c r="H1089" s="154"/>
      <c r="I1089" s="199" t="e">
        <f t="shared" si="62"/>
        <v>#DIV/0!</v>
      </c>
      <c r="J1089" s="129">
        <f t="shared" si="60"/>
        <v>0</v>
      </c>
    </row>
    <row r="1090" spans="1:10" ht="12.75" hidden="1">
      <c r="A1090" s="178">
        <f t="shared" si="61"/>
        <v>1005</v>
      </c>
      <c r="B1090" s="4">
        <v>4270</v>
      </c>
      <c r="C1090" s="80" t="s">
        <v>152</v>
      </c>
      <c r="D1090" s="25"/>
      <c r="E1090" s="46">
        <f>SUM(E1092:E1093)</f>
        <v>6800</v>
      </c>
      <c r="F1090" s="154"/>
      <c r="G1090" s="154"/>
      <c r="H1090" s="154"/>
      <c r="I1090" s="199" t="e">
        <f t="shared" si="62"/>
        <v>#DIV/0!</v>
      </c>
      <c r="J1090" s="129">
        <f t="shared" si="60"/>
        <v>0</v>
      </c>
    </row>
    <row r="1091" spans="1:10" ht="12.75" hidden="1">
      <c r="A1091" s="178">
        <f t="shared" si="61"/>
        <v>1006</v>
      </c>
      <c r="B1091" s="4"/>
      <c r="C1091" s="80" t="s">
        <v>15</v>
      </c>
      <c r="D1091" s="25"/>
      <c r="E1091" s="47"/>
      <c r="F1091" s="154"/>
      <c r="G1091" s="154"/>
      <c r="H1091" s="154"/>
      <c r="I1091" s="199" t="e">
        <f t="shared" si="62"/>
        <v>#DIV/0!</v>
      </c>
      <c r="J1091" s="129">
        <f t="shared" si="60"/>
        <v>0</v>
      </c>
    </row>
    <row r="1092" spans="1:10" ht="12.75" hidden="1">
      <c r="A1092" s="178">
        <f t="shared" si="61"/>
        <v>1007</v>
      </c>
      <c r="B1092" s="4"/>
      <c r="C1092" s="80" t="s">
        <v>165</v>
      </c>
      <c r="D1092" s="25"/>
      <c r="E1092" s="47">
        <v>4300</v>
      </c>
      <c r="F1092" s="154"/>
      <c r="G1092" s="154"/>
      <c r="H1092" s="154"/>
      <c r="I1092" s="199" t="e">
        <f t="shared" si="62"/>
        <v>#DIV/0!</v>
      </c>
      <c r="J1092" s="129">
        <f t="shared" si="60"/>
        <v>0</v>
      </c>
    </row>
    <row r="1093" spans="1:10" ht="12.75" hidden="1">
      <c r="A1093" s="178">
        <f t="shared" si="61"/>
        <v>1008</v>
      </c>
      <c r="B1093" s="4"/>
      <c r="C1093" s="80" t="s">
        <v>48</v>
      </c>
      <c r="D1093" s="25"/>
      <c r="E1093" s="47">
        <v>2500</v>
      </c>
      <c r="F1093" s="154"/>
      <c r="G1093" s="154"/>
      <c r="H1093" s="154"/>
      <c r="I1093" s="199" t="e">
        <f t="shared" si="62"/>
        <v>#DIV/0!</v>
      </c>
      <c r="J1093" s="129">
        <f t="shared" si="60"/>
        <v>0</v>
      </c>
    </row>
    <row r="1094" spans="1:10" ht="12.75" hidden="1">
      <c r="A1094" s="178">
        <f t="shared" si="61"/>
        <v>1009</v>
      </c>
      <c r="B1094" s="4"/>
      <c r="C1094" s="80"/>
      <c r="D1094" s="25"/>
      <c r="E1094" s="47"/>
      <c r="F1094" s="154"/>
      <c r="G1094" s="154"/>
      <c r="H1094" s="154"/>
      <c r="I1094" s="199" t="e">
        <f t="shared" si="62"/>
        <v>#DIV/0!</v>
      </c>
      <c r="J1094" s="129">
        <f t="shared" si="60"/>
        <v>0</v>
      </c>
    </row>
    <row r="1095" spans="1:10" ht="12.75" hidden="1">
      <c r="A1095" s="178">
        <f t="shared" si="61"/>
        <v>1010</v>
      </c>
      <c r="B1095" s="4">
        <v>4300</v>
      </c>
      <c r="C1095" s="80" t="s">
        <v>151</v>
      </c>
      <c r="D1095" s="25"/>
      <c r="E1095" s="46">
        <f>SUM(E1097:E1098)</f>
        <v>1000</v>
      </c>
      <c r="F1095" s="154"/>
      <c r="G1095" s="154"/>
      <c r="H1095" s="154"/>
      <c r="I1095" s="199" t="e">
        <f t="shared" si="62"/>
        <v>#DIV/0!</v>
      </c>
      <c r="J1095" s="129">
        <f t="shared" si="60"/>
        <v>0</v>
      </c>
    </row>
    <row r="1096" spans="1:10" ht="12.75" hidden="1">
      <c r="A1096" s="178">
        <f t="shared" si="61"/>
        <v>1011</v>
      </c>
      <c r="B1096" s="4"/>
      <c r="C1096" s="80" t="s">
        <v>15</v>
      </c>
      <c r="D1096" s="25"/>
      <c r="E1096" s="47"/>
      <c r="F1096" s="154"/>
      <c r="G1096" s="154"/>
      <c r="H1096" s="154"/>
      <c r="I1096" s="199" t="e">
        <f t="shared" si="62"/>
        <v>#DIV/0!</v>
      </c>
      <c r="J1096" s="129">
        <f t="shared" si="60"/>
        <v>0</v>
      </c>
    </row>
    <row r="1097" spans="1:10" ht="12.75" hidden="1">
      <c r="A1097" s="178">
        <f t="shared" si="61"/>
        <v>1012</v>
      </c>
      <c r="B1097" s="4"/>
      <c r="C1097" s="80" t="s">
        <v>165</v>
      </c>
      <c r="D1097" s="25"/>
      <c r="E1097" s="47">
        <v>0</v>
      </c>
      <c r="F1097" s="154"/>
      <c r="G1097" s="154"/>
      <c r="H1097" s="154"/>
      <c r="I1097" s="199" t="e">
        <f t="shared" si="62"/>
        <v>#DIV/0!</v>
      </c>
      <c r="J1097" s="129">
        <f t="shared" si="60"/>
        <v>0</v>
      </c>
    </row>
    <row r="1098" spans="1:10" ht="12.75" hidden="1">
      <c r="A1098" s="178">
        <f t="shared" si="61"/>
        <v>1013</v>
      </c>
      <c r="B1098" s="4"/>
      <c r="C1098" s="80" t="s">
        <v>48</v>
      </c>
      <c r="D1098" s="25"/>
      <c r="E1098" s="47">
        <v>1000</v>
      </c>
      <c r="F1098" s="154"/>
      <c r="G1098" s="154"/>
      <c r="H1098" s="154"/>
      <c r="I1098" s="199" t="e">
        <f t="shared" si="62"/>
        <v>#DIV/0!</v>
      </c>
      <c r="J1098" s="129">
        <f t="shared" si="60"/>
        <v>0</v>
      </c>
    </row>
    <row r="1099" spans="1:10" ht="12.75" hidden="1">
      <c r="A1099" s="178">
        <f t="shared" si="61"/>
        <v>1014</v>
      </c>
      <c r="B1099" s="4">
        <v>4440</v>
      </c>
      <c r="C1099" s="80" t="s">
        <v>46</v>
      </c>
      <c r="D1099" s="25"/>
      <c r="E1099" s="46">
        <f>SUM(E1101:E1102)</f>
        <v>3600</v>
      </c>
      <c r="F1099" s="154"/>
      <c r="G1099" s="154"/>
      <c r="H1099" s="154"/>
      <c r="I1099" s="199" t="e">
        <f t="shared" si="62"/>
        <v>#DIV/0!</v>
      </c>
      <c r="J1099" s="129">
        <f t="shared" si="60"/>
        <v>0</v>
      </c>
    </row>
    <row r="1100" spans="1:10" ht="12.75" hidden="1">
      <c r="A1100" s="178">
        <f t="shared" si="61"/>
        <v>1015</v>
      </c>
      <c r="B1100" s="4"/>
      <c r="C1100" s="80" t="s">
        <v>15</v>
      </c>
      <c r="D1100" s="25"/>
      <c r="E1100" s="47"/>
      <c r="F1100" s="154"/>
      <c r="G1100" s="154"/>
      <c r="H1100" s="154"/>
      <c r="I1100" s="199" t="e">
        <f t="shared" si="62"/>
        <v>#DIV/0!</v>
      </c>
      <c r="J1100" s="129">
        <f t="shared" si="60"/>
        <v>0</v>
      </c>
    </row>
    <row r="1101" spans="1:10" ht="12.75" hidden="1">
      <c r="A1101" s="178">
        <f t="shared" si="61"/>
        <v>1016</v>
      </c>
      <c r="B1101" s="4"/>
      <c r="C1101" s="80" t="s">
        <v>165</v>
      </c>
      <c r="D1101" s="25"/>
      <c r="E1101" s="47">
        <v>1400</v>
      </c>
      <c r="F1101" s="154"/>
      <c r="G1101" s="154"/>
      <c r="H1101" s="154"/>
      <c r="I1101" s="199" t="e">
        <f t="shared" si="62"/>
        <v>#DIV/0!</v>
      </c>
      <c r="J1101" s="129">
        <f t="shared" si="60"/>
        <v>0</v>
      </c>
    </row>
    <row r="1102" spans="1:10" ht="12.75" hidden="1">
      <c r="A1102" s="178">
        <f t="shared" si="61"/>
        <v>1017</v>
      </c>
      <c r="B1102" s="4"/>
      <c r="C1102" s="80" t="s">
        <v>48</v>
      </c>
      <c r="D1102" s="25"/>
      <c r="E1102" s="47">
        <v>2200</v>
      </c>
      <c r="F1102" s="154"/>
      <c r="G1102" s="154"/>
      <c r="H1102" s="154"/>
      <c r="I1102" s="199" t="e">
        <f t="shared" si="62"/>
        <v>#DIV/0!</v>
      </c>
      <c r="J1102" s="129">
        <f t="shared" si="60"/>
        <v>0</v>
      </c>
    </row>
    <row r="1103" spans="1:10" ht="12.75">
      <c r="A1103" s="178">
        <f>A1056+1</f>
        <v>972</v>
      </c>
      <c r="B1103" s="4">
        <v>4370</v>
      </c>
      <c r="C1103" s="123" t="s">
        <v>368</v>
      </c>
      <c r="D1103" s="25"/>
      <c r="E1103" s="47"/>
      <c r="F1103" s="154"/>
      <c r="G1103" s="154"/>
      <c r="H1103" s="154"/>
      <c r="I1103" s="199"/>
      <c r="J1103" s="129"/>
    </row>
    <row r="1104" spans="1:10" ht="12.75">
      <c r="A1104" s="178">
        <f t="shared" si="61"/>
        <v>973</v>
      </c>
      <c r="B1104" s="4"/>
      <c r="C1104" s="123" t="s">
        <v>665</v>
      </c>
      <c r="D1104" s="25"/>
      <c r="E1104" s="47"/>
      <c r="F1104" s="154">
        <v>0</v>
      </c>
      <c r="G1104" s="154">
        <v>431</v>
      </c>
      <c r="H1104" s="154">
        <v>430.76</v>
      </c>
      <c r="I1104" s="199">
        <f>H1104/G1104</f>
        <v>0.9994431554524362</v>
      </c>
      <c r="J1104" s="129">
        <f>H1104/H$54</f>
        <v>1.3556637099814033E-05</v>
      </c>
    </row>
    <row r="1105" spans="1:10" s="74" customFormat="1" ht="12.75">
      <c r="A1105" s="178">
        <f t="shared" si="61"/>
        <v>974</v>
      </c>
      <c r="B1105" s="63">
        <v>85415</v>
      </c>
      <c r="C1105" s="69" t="s">
        <v>285</v>
      </c>
      <c r="D1105" s="64"/>
      <c r="E1105" s="73"/>
      <c r="F1105" s="164">
        <f>F1106+F1111</f>
        <v>130700</v>
      </c>
      <c r="G1105" s="164">
        <f>G1106+G1111</f>
        <v>117590</v>
      </c>
      <c r="H1105" s="164">
        <f>H1106+H1111</f>
        <v>42088.659999999996</v>
      </c>
      <c r="I1105" s="199">
        <f>H1105/G1105</f>
        <v>0.3579272046942767</v>
      </c>
      <c r="J1105" s="129">
        <f>H1105/H$54</f>
        <v>0.0013245906993162291</v>
      </c>
    </row>
    <row r="1106" spans="1:10" ht="12.75">
      <c r="A1106" s="178">
        <f t="shared" si="61"/>
        <v>975</v>
      </c>
      <c r="B1106" s="4">
        <v>3260</v>
      </c>
      <c r="C1106" s="80" t="s">
        <v>279</v>
      </c>
      <c r="D1106" s="25"/>
      <c r="E1106" s="47"/>
      <c r="F1106" s="28">
        <f>SUM(F1108:F1109)</f>
        <v>66300</v>
      </c>
      <c r="G1106" s="28">
        <f>SUM(G1108:G1109)</f>
        <v>117590</v>
      </c>
      <c r="H1106" s="28">
        <f>SUM(H1108:H1109)</f>
        <v>42088.659999999996</v>
      </c>
      <c r="I1106" s="199">
        <f>H1106/G1106</f>
        <v>0.3579272046942767</v>
      </c>
      <c r="J1106" s="129">
        <f t="shared" si="60"/>
        <v>0.0013245906993162291</v>
      </c>
    </row>
    <row r="1107" spans="1:10" ht="12.75">
      <c r="A1107" s="178">
        <f t="shared" si="61"/>
        <v>976</v>
      </c>
      <c r="B1107" s="4"/>
      <c r="C1107" s="80" t="s">
        <v>15</v>
      </c>
      <c r="D1107" s="25"/>
      <c r="E1107" s="47"/>
      <c r="F1107" s="154"/>
      <c r="G1107" s="154"/>
      <c r="H1107" s="154"/>
      <c r="I1107" s="199"/>
      <c r="J1107" s="129"/>
    </row>
    <row r="1108" spans="1:10" ht="12.75">
      <c r="A1108" s="178">
        <f t="shared" si="61"/>
        <v>977</v>
      </c>
      <c r="B1108" s="4"/>
      <c r="C1108" s="80" t="s">
        <v>666</v>
      </c>
      <c r="D1108" s="25"/>
      <c r="E1108" s="47"/>
      <c r="F1108" s="154">
        <v>66300</v>
      </c>
      <c r="G1108" s="154">
        <v>113562</v>
      </c>
      <c r="H1108" s="154">
        <v>39923.2</v>
      </c>
      <c r="I1108" s="199">
        <f>H1108/G1108</f>
        <v>0.3515542170796569</v>
      </c>
      <c r="J1108" s="129">
        <f>H1108/H$54</f>
        <v>0.0012564405568374398</v>
      </c>
    </row>
    <row r="1109" spans="1:10" ht="12.75">
      <c r="A1109" s="178">
        <f t="shared" si="61"/>
        <v>978</v>
      </c>
      <c r="B1109" s="4"/>
      <c r="C1109" s="80" t="s">
        <v>667</v>
      </c>
      <c r="D1109" s="25"/>
      <c r="E1109" s="47"/>
      <c r="F1109" s="154">
        <v>0</v>
      </c>
      <c r="G1109" s="154">
        <v>4028</v>
      </c>
      <c r="H1109" s="154">
        <v>2165.46</v>
      </c>
      <c r="I1109" s="199">
        <f>H1109/G1109</f>
        <v>0.5376017874875869</v>
      </c>
      <c r="J1109" s="129">
        <f>H1109/H$54</f>
        <v>6.815014247878935E-05</v>
      </c>
    </row>
    <row r="1110" spans="1:10" ht="12.75">
      <c r="A1110" s="178">
        <f t="shared" si="61"/>
        <v>979</v>
      </c>
      <c r="B1110" s="4">
        <v>4300</v>
      </c>
      <c r="C1110" s="80" t="s">
        <v>305</v>
      </c>
      <c r="D1110" s="25"/>
      <c r="E1110" s="47"/>
      <c r="F1110" s="154"/>
      <c r="G1110" s="154"/>
      <c r="H1110" s="154"/>
      <c r="I1110" s="199"/>
      <c r="J1110" s="129"/>
    </row>
    <row r="1111" spans="1:10" ht="12.75">
      <c r="A1111" s="178">
        <f t="shared" si="61"/>
        <v>980</v>
      </c>
      <c r="B1111" s="4"/>
      <c r="C1111" s="80" t="s">
        <v>304</v>
      </c>
      <c r="D1111" s="25"/>
      <c r="E1111" s="47"/>
      <c r="F1111" s="154">
        <f>10000+54400</f>
        <v>64400</v>
      </c>
      <c r="G1111" s="154">
        <v>0</v>
      </c>
      <c r="H1111" s="154">
        <v>0</v>
      </c>
      <c r="I1111" s="199"/>
      <c r="J1111" s="129">
        <f t="shared" si="60"/>
        <v>0</v>
      </c>
    </row>
    <row r="1112" spans="1:10" ht="12.75">
      <c r="A1112" s="178">
        <f>A1111+1</f>
        <v>981</v>
      </c>
      <c r="B1112" s="63">
        <v>85446</v>
      </c>
      <c r="C1112" s="69" t="s">
        <v>205</v>
      </c>
      <c r="D1112" s="25"/>
      <c r="E1112" s="47"/>
      <c r="F1112" s="164">
        <f>F1113+F1118+F1124</f>
        <v>1118</v>
      </c>
      <c r="G1112" s="164">
        <f>G1113+G1118+G1124</f>
        <v>1118</v>
      </c>
      <c r="H1112" s="164">
        <f>H1113+H1118+H1124</f>
        <v>16</v>
      </c>
      <c r="I1112" s="199">
        <f t="shared" si="62"/>
        <v>0.014311270125223614</v>
      </c>
      <c r="J1112" s="129">
        <f aca="true" t="shared" si="63" ref="J1112:J1177">H1112/H$54</f>
        <v>5.035430253436358E-07</v>
      </c>
    </row>
    <row r="1113" spans="1:10" ht="12.75">
      <c r="A1113" s="178">
        <f aca="true" t="shared" si="64" ref="A1113:A1143">A1112+1</f>
        <v>982</v>
      </c>
      <c r="B1113" s="4">
        <v>3250</v>
      </c>
      <c r="C1113" s="80" t="s">
        <v>42</v>
      </c>
      <c r="D1113" s="25"/>
      <c r="E1113" s="47"/>
      <c r="F1113" s="154">
        <f>SUM(F1115:F1117)</f>
        <v>700</v>
      </c>
      <c r="G1113" s="154">
        <f>SUM(G1115:G1117)</f>
        <v>700</v>
      </c>
      <c r="H1113" s="154">
        <f>SUM(H1115:H1117)</f>
        <v>0</v>
      </c>
      <c r="I1113" s="199">
        <f t="shared" si="62"/>
        <v>0</v>
      </c>
      <c r="J1113" s="129">
        <f t="shared" si="63"/>
        <v>0</v>
      </c>
    </row>
    <row r="1114" spans="1:10" ht="12.75">
      <c r="A1114" s="178">
        <f t="shared" si="64"/>
        <v>983</v>
      </c>
      <c r="B1114" s="4"/>
      <c r="C1114" s="80" t="s">
        <v>15</v>
      </c>
      <c r="D1114" s="25"/>
      <c r="E1114" s="47"/>
      <c r="F1114" s="154"/>
      <c r="G1114" s="154"/>
      <c r="H1114" s="154"/>
      <c r="I1114" s="199"/>
      <c r="J1114" s="129"/>
    </row>
    <row r="1115" spans="1:10" ht="12.75">
      <c r="A1115" s="178">
        <f t="shared" si="64"/>
        <v>984</v>
      </c>
      <c r="B1115" s="4"/>
      <c r="C1115" s="80" t="s">
        <v>165</v>
      </c>
      <c r="D1115" s="25"/>
      <c r="E1115" s="47"/>
      <c r="F1115" s="154">
        <v>0</v>
      </c>
      <c r="G1115" s="154">
        <v>0</v>
      </c>
      <c r="H1115" s="154">
        <v>0</v>
      </c>
      <c r="I1115" s="199"/>
      <c r="J1115" s="129">
        <f t="shared" si="63"/>
        <v>0</v>
      </c>
    </row>
    <row r="1116" spans="1:10" ht="12.75">
      <c r="A1116" s="178">
        <f t="shared" si="64"/>
        <v>985</v>
      </c>
      <c r="B1116" s="4"/>
      <c r="C1116" s="80" t="s">
        <v>166</v>
      </c>
      <c r="D1116" s="25"/>
      <c r="E1116" s="47"/>
      <c r="F1116" s="154">
        <v>0</v>
      </c>
      <c r="G1116" s="154">
        <v>0</v>
      </c>
      <c r="H1116" s="154">
        <v>0</v>
      </c>
      <c r="I1116" s="199"/>
      <c r="J1116" s="129">
        <f t="shared" si="63"/>
        <v>0</v>
      </c>
    </row>
    <row r="1117" spans="1:10" ht="12.75">
      <c r="A1117" s="178">
        <f t="shared" si="64"/>
        <v>986</v>
      </c>
      <c r="B1117" s="4"/>
      <c r="C1117" s="80" t="s">
        <v>48</v>
      </c>
      <c r="D1117" s="25"/>
      <c r="E1117" s="47"/>
      <c r="F1117" s="154">
        <v>700</v>
      </c>
      <c r="G1117" s="154">
        <v>700</v>
      </c>
      <c r="H1117" s="154">
        <v>0</v>
      </c>
      <c r="I1117" s="199">
        <f t="shared" si="62"/>
        <v>0</v>
      </c>
      <c r="J1117" s="129">
        <f t="shared" si="63"/>
        <v>0</v>
      </c>
    </row>
    <row r="1118" spans="1:10" ht="12.75">
      <c r="A1118" s="178">
        <f t="shared" si="64"/>
        <v>987</v>
      </c>
      <c r="B1118" s="4">
        <v>4300</v>
      </c>
      <c r="C1118" s="80" t="s">
        <v>163</v>
      </c>
      <c r="D1118" s="25"/>
      <c r="E1118" s="47"/>
      <c r="F1118" s="154">
        <f>SUM(F1120:F1123)</f>
        <v>0</v>
      </c>
      <c r="G1118" s="154">
        <f>SUM(G1120:G1123)</f>
        <v>0</v>
      </c>
      <c r="H1118" s="154">
        <f>SUM(H1120:H1123)</f>
        <v>0</v>
      </c>
      <c r="I1118" s="199"/>
      <c r="J1118" s="129">
        <f t="shared" si="63"/>
        <v>0</v>
      </c>
    </row>
    <row r="1119" spans="1:10" ht="12.75">
      <c r="A1119" s="178">
        <f t="shared" si="64"/>
        <v>988</v>
      </c>
      <c r="B1119" s="4"/>
      <c r="C1119" s="80" t="s">
        <v>15</v>
      </c>
      <c r="D1119" s="25"/>
      <c r="E1119" s="47"/>
      <c r="F1119" s="154"/>
      <c r="G1119" s="154"/>
      <c r="H1119" s="154"/>
      <c r="I1119" s="199"/>
      <c r="J1119" s="129"/>
    </row>
    <row r="1120" spans="1:10" ht="12.75">
      <c r="A1120" s="178">
        <f t="shared" si="64"/>
        <v>989</v>
      </c>
      <c r="B1120" s="4"/>
      <c r="C1120" s="80" t="s">
        <v>165</v>
      </c>
      <c r="D1120" s="25"/>
      <c r="E1120" s="47"/>
      <c r="F1120" s="154">
        <v>0</v>
      </c>
      <c r="G1120" s="154">
        <v>0</v>
      </c>
      <c r="H1120" s="154">
        <v>0</v>
      </c>
      <c r="I1120" s="199"/>
      <c r="J1120" s="129">
        <f t="shared" si="63"/>
        <v>0</v>
      </c>
    </row>
    <row r="1121" spans="1:10" ht="12.75">
      <c r="A1121" s="178">
        <f t="shared" si="64"/>
        <v>990</v>
      </c>
      <c r="B1121" s="4"/>
      <c r="C1121" s="80" t="s">
        <v>166</v>
      </c>
      <c r="D1121" s="25"/>
      <c r="E1121" s="47"/>
      <c r="F1121" s="154">
        <v>0</v>
      </c>
      <c r="G1121" s="154">
        <v>0</v>
      </c>
      <c r="H1121" s="154">
        <v>0</v>
      </c>
      <c r="I1121" s="199"/>
      <c r="J1121" s="129">
        <f t="shared" si="63"/>
        <v>0</v>
      </c>
    </row>
    <row r="1122" spans="1:10" ht="12.75">
      <c r="A1122" s="178">
        <f t="shared" si="64"/>
        <v>991</v>
      </c>
      <c r="B1122" s="4"/>
      <c r="C1122" s="80" t="s">
        <v>48</v>
      </c>
      <c r="D1122" s="25"/>
      <c r="E1122" s="47"/>
      <c r="F1122" s="154">
        <v>0</v>
      </c>
      <c r="G1122" s="154">
        <v>0</v>
      </c>
      <c r="H1122" s="154">
        <v>0</v>
      </c>
      <c r="I1122" s="199"/>
      <c r="J1122" s="129">
        <f t="shared" si="63"/>
        <v>0</v>
      </c>
    </row>
    <row r="1123" spans="1:10" ht="12.75">
      <c r="A1123" s="178">
        <f t="shared" si="64"/>
        <v>992</v>
      </c>
      <c r="B1123" s="4"/>
      <c r="C1123" s="80" t="s">
        <v>206</v>
      </c>
      <c r="D1123" s="25"/>
      <c r="E1123" s="47"/>
      <c r="F1123" s="154">
        <v>0</v>
      </c>
      <c r="G1123" s="154">
        <v>0</v>
      </c>
      <c r="H1123" s="154">
        <v>0</v>
      </c>
      <c r="I1123" s="199"/>
      <c r="J1123" s="129">
        <f t="shared" si="63"/>
        <v>0</v>
      </c>
    </row>
    <row r="1124" spans="1:10" ht="12.75">
      <c r="A1124" s="178">
        <f t="shared" si="64"/>
        <v>993</v>
      </c>
      <c r="B1124" s="4">
        <v>4410</v>
      </c>
      <c r="C1124" s="80" t="s">
        <v>29</v>
      </c>
      <c r="D1124" s="25"/>
      <c r="E1124" s="47"/>
      <c r="F1124" s="154">
        <f>SUM(F1126)</f>
        <v>418</v>
      </c>
      <c r="G1124" s="154">
        <f>SUM(G1126)</f>
        <v>418</v>
      </c>
      <c r="H1124" s="154">
        <f>SUM(H1126)</f>
        <v>16</v>
      </c>
      <c r="I1124" s="199">
        <f aca="true" t="shared" si="65" ref="I1124:I1187">H1124/G1124</f>
        <v>0.03827751196172249</v>
      </c>
      <c r="J1124" s="129">
        <f t="shared" si="63"/>
        <v>5.035430253436358E-07</v>
      </c>
    </row>
    <row r="1125" spans="1:10" ht="12.75">
      <c r="A1125" s="178">
        <f t="shared" si="64"/>
        <v>994</v>
      </c>
      <c r="B1125" s="4"/>
      <c r="C1125" s="80" t="s">
        <v>15</v>
      </c>
      <c r="D1125" s="25"/>
      <c r="E1125" s="47"/>
      <c r="F1125" s="154"/>
      <c r="G1125" s="154"/>
      <c r="H1125" s="154"/>
      <c r="I1125" s="199"/>
      <c r="J1125" s="129">
        <f t="shared" si="63"/>
        <v>0</v>
      </c>
    </row>
    <row r="1126" spans="1:10" ht="12.75">
      <c r="A1126" s="178">
        <f t="shared" si="64"/>
        <v>995</v>
      </c>
      <c r="B1126" s="4"/>
      <c r="C1126" s="80" t="s">
        <v>165</v>
      </c>
      <c r="D1126" s="25"/>
      <c r="E1126" s="47"/>
      <c r="F1126" s="154">
        <v>418</v>
      </c>
      <c r="G1126" s="154">
        <v>418</v>
      </c>
      <c r="H1126" s="154">
        <v>16</v>
      </c>
      <c r="I1126" s="199">
        <f t="shared" si="65"/>
        <v>0.03827751196172249</v>
      </c>
      <c r="J1126" s="129">
        <f t="shared" si="63"/>
        <v>5.035430253436358E-07</v>
      </c>
    </row>
    <row r="1127" spans="1:10" s="74" customFormat="1" ht="12.75">
      <c r="A1127" s="178">
        <f t="shared" si="64"/>
        <v>996</v>
      </c>
      <c r="B1127" s="63">
        <v>85495</v>
      </c>
      <c r="C1127" s="69" t="s">
        <v>25</v>
      </c>
      <c r="D1127" s="64"/>
      <c r="E1127" s="73"/>
      <c r="F1127" s="164">
        <f>F1129</f>
        <v>1490</v>
      </c>
      <c r="G1127" s="164">
        <f>G1129</f>
        <v>1490</v>
      </c>
      <c r="H1127" s="164">
        <f>H1129</f>
        <v>1490</v>
      </c>
      <c r="I1127" s="199">
        <f t="shared" si="65"/>
        <v>1</v>
      </c>
      <c r="J1127" s="129">
        <f t="shared" si="63"/>
        <v>4.689244423512608E-05</v>
      </c>
    </row>
    <row r="1128" spans="1:10" ht="12.75">
      <c r="A1128" s="178">
        <f t="shared" si="64"/>
        <v>997</v>
      </c>
      <c r="B1128" s="4">
        <v>4440</v>
      </c>
      <c r="C1128" s="80" t="s">
        <v>46</v>
      </c>
      <c r="D1128" s="25"/>
      <c r="E1128" s="47"/>
      <c r="F1128" s="154"/>
      <c r="G1128" s="154"/>
      <c r="H1128" s="154"/>
      <c r="I1128" s="199"/>
      <c r="J1128" s="129"/>
    </row>
    <row r="1129" spans="1:10" ht="12.75">
      <c r="A1129" s="178">
        <f t="shared" si="64"/>
        <v>998</v>
      </c>
      <c r="B1129" s="4"/>
      <c r="C1129" s="80" t="s">
        <v>251</v>
      </c>
      <c r="D1129" s="25"/>
      <c r="E1129" s="47"/>
      <c r="F1129" s="154">
        <f>SUM(F1131:F1132)</f>
        <v>1490</v>
      </c>
      <c r="G1129" s="154">
        <f>SUM(G1131:G1132)</f>
        <v>1490</v>
      </c>
      <c r="H1129" s="154">
        <f>SUM(H1131:H1132)</f>
        <v>1490</v>
      </c>
      <c r="I1129" s="199">
        <f t="shared" si="65"/>
        <v>1</v>
      </c>
      <c r="J1129" s="129">
        <f t="shared" si="63"/>
        <v>4.689244423512608E-05</v>
      </c>
    </row>
    <row r="1130" spans="1:10" ht="12.75">
      <c r="A1130" s="178">
        <f t="shared" si="64"/>
        <v>999</v>
      </c>
      <c r="B1130" s="4"/>
      <c r="C1130" s="80" t="s">
        <v>15</v>
      </c>
      <c r="D1130" s="25"/>
      <c r="E1130" s="47"/>
      <c r="F1130" s="154"/>
      <c r="G1130" s="154"/>
      <c r="H1130" s="154"/>
      <c r="I1130" s="199"/>
      <c r="J1130" s="129"/>
    </row>
    <row r="1131" spans="1:10" ht="12.75">
      <c r="A1131" s="178">
        <f t="shared" si="64"/>
        <v>1000</v>
      </c>
      <c r="B1131" s="4"/>
      <c r="C1131" s="80" t="s">
        <v>165</v>
      </c>
      <c r="D1131" s="25"/>
      <c r="E1131" s="47"/>
      <c r="F1131" s="154">
        <v>890</v>
      </c>
      <c r="G1131" s="154">
        <v>890</v>
      </c>
      <c r="H1131" s="154">
        <v>890</v>
      </c>
      <c r="I1131" s="199">
        <f t="shared" si="65"/>
        <v>1</v>
      </c>
      <c r="J1131" s="129">
        <f t="shared" si="63"/>
        <v>2.8009580784739738E-05</v>
      </c>
    </row>
    <row r="1132" spans="1:10" ht="12.75">
      <c r="A1132" s="178">
        <f t="shared" si="64"/>
        <v>1001</v>
      </c>
      <c r="B1132" s="4"/>
      <c r="C1132" s="80" t="s">
        <v>48</v>
      </c>
      <c r="D1132" s="25"/>
      <c r="E1132" s="47"/>
      <c r="F1132" s="154">
        <v>600</v>
      </c>
      <c r="G1132" s="154">
        <v>600</v>
      </c>
      <c r="H1132" s="154">
        <v>600</v>
      </c>
      <c r="I1132" s="199">
        <f t="shared" si="65"/>
        <v>1</v>
      </c>
      <c r="J1132" s="129">
        <f t="shared" si="63"/>
        <v>1.888286345038634E-05</v>
      </c>
    </row>
    <row r="1133" spans="1:10" s="71" customFormat="1" ht="12.75">
      <c r="A1133" s="178">
        <f t="shared" si="64"/>
        <v>1002</v>
      </c>
      <c r="B1133" s="57">
        <v>900</v>
      </c>
      <c r="C1133" s="79" t="s">
        <v>136</v>
      </c>
      <c r="D1133" s="59"/>
      <c r="E1133" s="72"/>
      <c r="F1133" s="167"/>
      <c r="G1133" s="167"/>
      <c r="H1133" s="167"/>
      <c r="I1133" s="199"/>
      <c r="J1133" s="129"/>
    </row>
    <row r="1134" spans="1:10" s="71" customFormat="1" ht="12.75">
      <c r="A1134" s="178">
        <f t="shared" si="64"/>
        <v>1003</v>
      </c>
      <c r="B1134" s="62"/>
      <c r="C1134" s="79" t="s">
        <v>137</v>
      </c>
      <c r="D1134" s="59"/>
      <c r="E1134" s="60" t="e">
        <f>#REF!+E1135+E1149+E1162+E1174+E1187</f>
        <v>#REF!</v>
      </c>
      <c r="F1134" s="59">
        <f>F1135+F1149+F1162+F1174+F1187</f>
        <v>2940990</v>
      </c>
      <c r="G1134" s="59">
        <f>G1135+G1149+G1162+G1174+G1187</f>
        <v>4004510.08</v>
      </c>
      <c r="H1134" s="59">
        <f>H1135+H1149+H1162+H1174+H1187</f>
        <v>2918626.8899999997</v>
      </c>
      <c r="I1134" s="199">
        <f t="shared" si="65"/>
        <v>0.7288349465210985</v>
      </c>
      <c r="J1134" s="129">
        <f t="shared" si="63"/>
        <v>0.09185338837749292</v>
      </c>
    </row>
    <row r="1135" spans="1:10" s="74" customFormat="1" ht="12.75">
      <c r="A1135" s="178">
        <f t="shared" si="64"/>
        <v>1004</v>
      </c>
      <c r="B1135" s="63">
        <v>90003</v>
      </c>
      <c r="C1135" s="69" t="s">
        <v>138</v>
      </c>
      <c r="D1135" s="64"/>
      <c r="E1135" s="65" t="e">
        <f>+#REF!+E1136+E1137</f>
        <v>#REF!</v>
      </c>
      <c r="F1135" s="64">
        <f>+F1136+F1137</f>
        <v>895500</v>
      </c>
      <c r="G1135" s="64">
        <f>+G1136+G1137</f>
        <v>1015500</v>
      </c>
      <c r="H1135" s="64">
        <f>+H1136+H1137</f>
        <v>965590.47</v>
      </c>
      <c r="I1135" s="199">
        <f t="shared" si="65"/>
        <v>0.9508522599704579</v>
      </c>
      <c r="J1135" s="129">
        <f t="shared" si="63"/>
        <v>0.030388521656673946</v>
      </c>
    </row>
    <row r="1136" spans="1:10" s="74" customFormat="1" ht="12.75">
      <c r="A1136" s="178">
        <f t="shared" si="64"/>
        <v>1005</v>
      </c>
      <c r="B1136" s="14">
        <v>4210</v>
      </c>
      <c r="C1136" s="80" t="s">
        <v>153</v>
      </c>
      <c r="D1136" s="64"/>
      <c r="E1136" s="84">
        <v>30000</v>
      </c>
      <c r="F1136" s="160">
        <v>10000</v>
      </c>
      <c r="G1136" s="160">
        <v>10320</v>
      </c>
      <c r="H1136" s="160">
        <v>10317.11</v>
      </c>
      <c r="I1136" s="199">
        <f t="shared" si="65"/>
        <v>0.9997199612403102</v>
      </c>
      <c r="J1136" s="129">
        <f t="shared" si="63"/>
        <v>0.00032469429888769237</v>
      </c>
    </row>
    <row r="1137" spans="1:10" ht="12.75">
      <c r="A1137" s="178">
        <f t="shared" si="64"/>
        <v>1006</v>
      </c>
      <c r="B1137" s="12">
        <v>4300</v>
      </c>
      <c r="C1137" s="80" t="s">
        <v>151</v>
      </c>
      <c r="D1137" s="25"/>
      <c r="E1137" s="48">
        <f>SUM(E1139:E1146)</f>
        <v>666200</v>
      </c>
      <c r="F1137" s="23">
        <f>SUM(F1139:F1148)</f>
        <v>885500</v>
      </c>
      <c r="G1137" s="23">
        <f>SUM(G1139:G1148)</f>
        <v>1005180</v>
      </c>
      <c r="H1137" s="23">
        <f>SUM(H1139:H1148)</f>
        <v>955273.36</v>
      </c>
      <c r="I1137" s="199">
        <f t="shared" si="65"/>
        <v>0.9503505441811416</v>
      </c>
      <c r="J1137" s="129">
        <f t="shared" si="63"/>
        <v>0.030063827357786253</v>
      </c>
    </row>
    <row r="1138" spans="1:10" ht="12.75">
      <c r="A1138" s="178">
        <f t="shared" si="64"/>
        <v>1007</v>
      </c>
      <c r="B1138" s="54"/>
      <c r="C1138" s="80" t="s">
        <v>15</v>
      </c>
      <c r="D1138" s="25"/>
      <c r="E1138" s="47"/>
      <c r="F1138" s="154"/>
      <c r="G1138" s="154"/>
      <c r="H1138" s="154"/>
      <c r="I1138" s="199"/>
      <c r="J1138" s="129"/>
    </row>
    <row r="1139" spans="1:10" ht="12.75">
      <c r="A1139" s="178">
        <f t="shared" si="64"/>
        <v>1008</v>
      </c>
      <c r="B1139" s="13"/>
      <c r="C1139" s="80" t="s">
        <v>286</v>
      </c>
      <c r="D1139" s="25"/>
      <c r="E1139" s="47">
        <v>500000</v>
      </c>
      <c r="F1139" s="154">
        <f>350000-15000</f>
        <v>335000</v>
      </c>
      <c r="G1139" s="154">
        <v>355900</v>
      </c>
      <c r="H1139" s="154">
        <v>353252.77</v>
      </c>
      <c r="I1139" s="199">
        <f t="shared" si="65"/>
        <v>0.9925618713121664</v>
      </c>
      <c r="J1139" s="129">
        <f t="shared" si="63"/>
        <v>0.011117373032301222</v>
      </c>
    </row>
    <row r="1140" spans="1:10" ht="12.75">
      <c r="A1140" s="178">
        <f t="shared" si="64"/>
        <v>1009</v>
      </c>
      <c r="B1140" s="4"/>
      <c r="C1140" s="80" t="s">
        <v>21</v>
      </c>
      <c r="D1140" s="25"/>
      <c r="E1140" s="47">
        <v>100000</v>
      </c>
      <c r="F1140" s="154">
        <v>108000</v>
      </c>
      <c r="G1140" s="154">
        <v>198000</v>
      </c>
      <c r="H1140" s="154">
        <v>167354.3</v>
      </c>
      <c r="I1140" s="199">
        <f t="shared" si="65"/>
        <v>0.8452237373737373</v>
      </c>
      <c r="J1140" s="129">
        <f t="shared" si="63"/>
        <v>0.005266880657891651</v>
      </c>
    </row>
    <row r="1141" spans="1:10" ht="12.75">
      <c r="A1141" s="178">
        <f t="shared" si="64"/>
        <v>1010</v>
      </c>
      <c r="B1141" s="4"/>
      <c r="C1141" s="80" t="s">
        <v>589</v>
      </c>
      <c r="D1141" s="25"/>
      <c r="E1141" s="47">
        <v>50000</v>
      </c>
      <c r="F1141" s="154">
        <v>86000</v>
      </c>
      <c r="G1141" s="154">
        <v>42180</v>
      </c>
      <c r="H1141" s="154">
        <v>30761.97</v>
      </c>
      <c r="I1141" s="199">
        <f t="shared" si="65"/>
        <v>0.7293022759601707</v>
      </c>
      <c r="J1141" s="129">
        <f t="shared" si="63"/>
        <v>0.0009681234649581352</v>
      </c>
    </row>
    <row r="1142" spans="1:10" ht="12.75">
      <c r="A1142" s="178">
        <f t="shared" si="64"/>
        <v>1011</v>
      </c>
      <c r="B1142" s="4"/>
      <c r="C1142" s="80" t="s">
        <v>372</v>
      </c>
      <c r="D1142" s="25"/>
      <c r="E1142" s="47"/>
      <c r="F1142" s="154">
        <v>39500</v>
      </c>
      <c r="G1142" s="154">
        <v>14786</v>
      </c>
      <c r="H1142" s="154">
        <v>13957.12</v>
      </c>
      <c r="I1142" s="199">
        <f t="shared" si="65"/>
        <v>0.9439415663465441</v>
      </c>
      <c r="J1142" s="129">
        <f t="shared" si="63"/>
        <v>0.00043925065186776037</v>
      </c>
    </row>
    <row r="1143" spans="1:10" ht="12.75">
      <c r="A1143" s="178">
        <f t="shared" si="64"/>
        <v>1012</v>
      </c>
      <c r="B1143" s="4"/>
      <c r="C1143" s="80" t="s">
        <v>22</v>
      </c>
      <c r="D1143" s="25"/>
      <c r="E1143" s="47">
        <v>2000</v>
      </c>
      <c r="F1143" s="154">
        <v>1000</v>
      </c>
      <c r="G1143" s="154">
        <v>0</v>
      </c>
      <c r="H1143" s="154">
        <v>0</v>
      </c>
      <c r="I1143" s="199"/>
      <c r="J1143" s="129">
        <f t="shared" si="63"/>
        <v>0</v>
      </c>
    </row>
    <row r="1144" spans="1:10" ht="12.75">
      <c r="A1144" s="178">
        <f aca="true" t="shared" si="66" ref="A1144:A1187">A1143+1</f>
        <v>1013</v>
      </c>
      <c r="B1144" s="4"/>
      <c r="C1144" s="80" t="s">
        <v>23</v>
      </c>
      <c r="D1144" s="25"/>
      <c r="E1144" s="47">
        <v>14200</v>
      </c>
      <c r="F1144" s="154">
        <f>10000+15000</f>
        <v>25000</v>
      </c>
      <c r="G1144" s="154">
        <v>0</v>
      </c>
      <c r="H1144" s="154">
        <v>0</v>
      </c>
      <c r="I1144" s="199"/>
      <c r="J1144" s="129">
        <f t="shared" si="63"/>
        <v>0</v>
      </c>
    </row>
    <row r="1145" spans="1:10" ht="12.75">
      <c r="A1145" s="178">
        <f t="shared" si="66"/>
        <v>1014</v>
      </c>
      <c r="B1145" s="4"/>
      <c r="C1145" s="80" t="s">
        <v>373</v>
      </c>
      <c r="D1145" s="25"/>
      <c r="E1145" s="47"/>
      <c r="F1145" s="154">
        <v>238000</v>
      </c>
      <c r="G1145" s="154">
        <v>291314</v>
      </c>
      <c r="H1145" s="154">
        <v>291313.56</v>
      </c>
      <c r="I1145" s="199">
        <f t="shared" si="65"/>
        <v>0.9999984896022848</v>
      </c>
      <c r="J1145" s="129">
        <f t="shared" si="63"/>
        <v>0.009168056957876548</v>
      </c>
    </row>
    <row r="1146" spans="1:10" ht="12.75">
      <c r="A1146" s="178">
        <f t="shared" si="66"/>
        <v>1015</v>
      </c>
      <c r="B1146" s="4"/>
      <c r="C1146" s="80" t="s">
        <v>393</v>
      </c>
      <c r="D1146" s="25"/>
      <c r="E1146" s="47">
        <v>0</v>
      </c>
      <c r="F1146" s="154">
        <f>18000+25000</f>
        <v>43000</v>
      </c>
      <c r="G1146" s="154">
        <v>43000</v>
      </c>
      <c r="H1146" s="154">
        <v>39540.16</v>
      </c>
      <c r="I1146" s="199">
        <f t="shared" si="65"/>
        <v>0.9195386046511629</v>
      </c>
      <c r="J1146" s="129">
        <f t="shared" si="63"/>
        <v>0.0012443857368107133</v>
      </c>
    </row>
    <row r="1147" spans="1:10" ht="12.75">
      <c r="A1147" s="178">
        <f t="shared" si="66"/>
        <v>1016</v>
      </c>
      <c r="B1147" s="4"/>
      <c r="C1147" s="80" t="s">
        <v>668</v>
      </c>
      <c r="D1147" s="25"/>
      <c r="E1147" s="47"/>
      <c r="F1147" s="154">
        <v>0</v>
      </c>
      <c r="G1147" s="154">
        <v>60000</v>
      </c>
      <c r="H1147" s="154">
        <v>59093.48</v>
      </c>
      <c r="I1147" s="199">
        <f>H1147/G1147</f>
        <v>0.9848913333333333</v>
      </c>
      <c r="J1147" s="129">
        <f>H1147/H$54</f>
        <v>0.001859756856080227</v>
      </c>
    </row>
    <row r="1148" spans="1:10" ht="12.75">
      <c r="A1148" s="178">
        <f t="shared" si="66"/>
        <v>1017</v>
      </c>
      <c r="B1148" s="4"/>
      <c r="C1148" s="80" t="s">
        <v>202</v>
      </c>
      <c r="D1148" s="25"/>
      <c r="E1148" s="47"/>
      <c r="F1148" s="154">
        <v>10000</v>
      </c>
      <c r="G1148" s="154">
        <v>0</v>
      </c>
      <c r="H1148" s="154">
        <v>0</v>
      </c>
      <c r="I1148" s="199"/>
      <c r="J1148" s="129">
        <f t="shared" si="63"/>
        <v>0</v>
      </c>
    </row>
    <row r="1149" spans="1:10" s="74" customFormat="1" ht="12.75">
      <c r="A1149" s="178">
        <f t="shared" si="66"/>
        <v>1018</v>
      </c>
      <c r="B1149" s="63">
        <v>90004</v>
      </c>
      <c r="C1149" s="69" t="s">
        <v>139</v>
      </c>
      <c r="D1149" s="64"/>
      <c r="E1149" s="65">
        <f>E1150+E1151+E1152</f>
        <v>278300</v>
      </c>
      <c r="F1149" s="64">
        <f>F1150+F1151+F1152+F1158</f>
        <v>214100</v>
      </c>
      <c r="G1149" s="64">
        <f>G1150+G1151+G1152+G1158</f>
        <v>204100</v>
      </c>
      <c r="H1149" s="64">
        <f>H1150+H1151+H1152+H1158</f>
        <v>126821.15</v>
      </c>
      <c r="I1149" s="199">
        <f t="shared" si="65"/>
        <v>0.6213677119059284</v>
      </c>
      <c r="J1149" s="129">
        <f t="shared" si="63"/>
        <v>0.003991244096784939</v>
      </c>
    </row>
    <row r="1150" spans="1:10" s="19" customFormat="1" ht="15" customHeight="1">
      <c r="A1150" s="178">
        <f t="shared" si="66"/>
        <v>1019</v>
      </c>
      <c r="B1150" s="14">
        <v>4210</v>
      </c>
      <c r="C1150" s="80" t="s">
        <v>153</v>
      </c>
      <c r="D1150" s="25"/>
      <c r="E1150" s="47">
        <v>50000</v>
      </c>
      <c r="F1150" s="154">
        <v>6600</v>
      </c>
      <c r="G1150" s="154">
        <v>8600</v>
      </c>
      <c r="H1150" s="154">
        <v>6954</v>
      </c>
      <c r="I1150" s="199">
        <f t="shared" si="65"/>
        <v>0.8086046511627907</v>
      </c>
      <c r="J1150" s="129">
        <f t="shared" si="63"/>
        <v>0.0002188523873899777</v>
      </c>
    </row>
    <row r="1151" spans="1:10" s="32" customFormat="1" ht="15" customHeight="1">
      <c r="A1151" s="178">
        <f t="shared" si="66"/>
        <v>1020</v>
      </c>
      <c r="B1151" s="14">
        <v>4260</v>
      </c>
      <c r="C1151" s="122" t="s">
        <v>155</v>
      </c>
      <c r="D1151" s="25"/>
      <c r="E1151" s="47">
        <v>5300</v>
      </c>
      <c r="F1151" s="154">
        <v>4500</v>
      </c>
      <c r="G1151" s="154">
        <v>2500</v>
      </c>
      <c r="H1151" s="154">
        <v>375.3</v>
      </c>
      <c r="I1151" s="199">
        <f t="shared" si="65"/>
        <v>0.15012</v>
      </c>
      <c r="J1151" s="129">
        <f t="shared" si="63"/>
        <v>1.1811231088216656E-05</v>
      </c>
    </row>
    <row r="1152" spans="1:10" ht="15" customHeight="1">
      <c r="A1152" s="178">
        <f t="shared" si="66"/>
        <v>1021</v>
      </c>
      <c r="B1152" s="4">
        <v>4300</v>
      </c>
      <c r="C1152" s="80" t="s">
        <v>151</v>
      </c>
      <c r="D1152" s="25"/>
      <c r="E1152" s="48">
        <f>SUM(E1154:E1157)</f>
        <v>223000</v>
      </c>
      <c r="F1152" s="23">
        <f>SUM(F1154:F1157)</f>
        <v>153000</v>
      </c>
      <c r="G1152" s="23">
        <f>SUM(G1154:G1157)</f>
        <v>143000</v>
      </c>
      <c r="H1152" s="23">
        <f>SUM(H1154:H1157)</f>
        <v>119491.84999999999</v>
      </c>
      <c r="I1152" s="199">
        <f t="shared" si="65"/>
        <v>0.8356073426573426</v>
      </c>
      <c r="J1152" s="129">
        <f t="shared" si="63"/>
        <v>0.003760580478306745</v>
      </c>
    </row>
    <row r="1153" spans="1:10" ht="15" customHeight="1">
      <c r="A1153" s="178">
        <f t="shared" si="66"/>
        <v>1022</v>
      </c>
      <c r="B1153" s="4"/>
      <c r="C1153" s="80" t="s">
        <v>15</v>
      </c>
      <c r="D1153" s="25"/>
      <c r="E1153" s="47"/>
      <c r="F1153" s="154"/>
      <c r="G1153" s="154"/>
      <c r="H1153" s="154"/>
      <c r="I1153" s="199"/>
      <c r="J1153" s="129"/>
    </row>
    <row r="1154" spans="1:10" ht="15" customHeight="1">
      <c r="A1154" s="178">
        <f t="shared" si="66"/>
        <v>1023</v>
      </c>
      <c r="B1154" s="4"/>
      <c r="C1154" s="80" t="s">
        <v>20</v>
      </c>
      <c r="D1154" s="25"/>
      <c r="E1154" s="47">
        <v>200000</v>
      </c>
      <c r="F1154" s="154">
        <v>80000</v>
      </c>
      <c r="G1154" s="154">
        <v>80100</v>
      </c>
      <c r="H1154" s="154">
        <v>80014.65</v>
      </c>
      <c r="I1154" s="199">
        <f t="shared" si="65"/>
        <v>0.9989344569288389</v>
      </c>
      <c r="J1154" s="129">
        <f t="shared" si="63"/>
        <v>0.0025181761833007587</v>
      </c>
    </row>
    <row r="1155" spans="1:10" ht="15" customHeight="1">
      <c r="A1155" s="178">
        <f t="shared" si="66"/>
        <v>1024</v>
      </c>
      <c r="B1155" s="4"/>
      <c r="C1155" s="80" t="s">
        <v>24</v>
      </c>
      <c r="D1155" s="25"/>
      <c r="E1155" s="47">
        <v>20000</v>
      </c>
      <c r="F1155" s="154">
        <v>50000</v>
      </c>
      <c r="G1155" s="154">
        <v>50000</v>
      </c>
      <c r="H1155" s="154">
        <v>28987.2</v>
      </c>
      <c r="I1155" s="199">
        <f t="shared" si="65"/>
        <v>0.579744</v>
      </c>
      <c r="J1155" s="129">
        <f t="shared" si="63"/>
        <v>0.0009122688990150649</v>
      </c>
    </row>
    <row r="1156" spans="1:10" ht="15" customHeight="1">
      <c r="A1156" s="178">
        <f t="shared" si="66"/>
        <v>1025</v>
      </c>
      <c r="B1156" s="4"/>
      <c r="C1156" s="80" t="s">
        <v>201</v>
      </c>
      <c r="D1156" s="25"/>
      <c r="E1156" s="47">
        <v>2000</v>
      </c>
      <c r="F1156" s="154">
        <v>8000</v>
      </c>
      <c r="G1156" s="154">
        <v>7900</v>
      </c>
      <c r="H1156" s="154">
        <v>5490</v>
      </c>
      <c r="I1156" s="199">
        <f t="shared" si="65"/>
        <v>0.6949367088607595</v>
      </c>
      <c r="J1156" s="129">
        <f t="shared" si="63"/>
        <v>0.00017277820057103502</v>
      </c>
    </row>
    <row r="1157" spans="1:10" ht="15" customHeight="1">
      <c r="A1157" s="178">
        <f t="shared" si="66"/>
        <v>1026</v>
      </c>
      <c r="B1157" s="4"/>
      <c r="C1157" s="80" t="s">
        <v>400</v>
      </c>
      <c r="D1157" s="25"/>
      <c r="E1157" s="47">
        <v>1000</v>
      </c>
      <c r="F1157" s="154">
        <v>15000</v>
      </c>
      <c r="G1157" s="154">
        <v>5000</v>
      </c>
      <c r="H1157" s="154">
        <v>5000</v>
      </c>
      <c r="I1157" s="199">
        <f t="shared" si="65"/>
        <v>1</v>
      </c>
      <c r="J1157" s="129">
        <f t="shared" si="63"/>
        <v>0.00015735719541988617</v>
      </c>
    </row>
    <row r="1158" spans="1:10" ht="15" customHeight="1">
      <c r="A1158" s="178">
        <f t="shared" si="66"/>
        <v>1027</v>
      </c>
      <c r="B1158" s="4">
        <v>6050</v>
      </c>
      <c r="C1158" s="80" t="s">
        <v>212</v>
      </c>
      <c r="D1158" s="25"/>
      <c r="E1158" s="47"/>
      <c r="F1158" s="154">
        <f>SUM(F1160:F1161)</f>
        <v>50000</v>
      </c>
      <c r="G1158" s="154">
        <f>SUM(G1160:G1161)</f>
        <v>50000</v>
      </c>
      <c r="H1158" s="154">
        <f>SUM(H1160:H1161)</f>
        <v>0</v>
      </c>
      <c r="I1158" s="199">
        <f>H1158/G1158</f>
        <v>0</v>
      </c>
      <c r="J1158" s="129">
        <f>H1158/H$54</f>
        <v>0</v>
      </c>
    </row>
    <row r="1159" spans="1:10" ht="15" customHeight="1">
      <c r="A1159" s="178">
        <f t="shared" si="66"/>
        <v>1028</v>
      </c>
      <c r="B1159" s="4"/>
      <c r="C1159" s="80" t="s">
        <v>15</v>
      </c>
      <c r="D1159" s="25"/>
      <c r="E1159" s="47"/>
      <c r="F1159" s="154"/>
      <c r="G1159" s="154"/>
      <c r="H1159" s="154"/>
      <c r="I1159" s="199"/>
      <c r="J1159" s="129"/>
    </row>
    <row r="1160" spans="1:10" ht="15" customHeight="1">
      <c r="A1160" s="178">
        <f t="shared" si="66"/>
        <v>1029</v>
      </c>
      <c r="B1160" s="4"/>
      <c r="C1160" s="80" t="s">
        <v>669</v>
      </c>
      <c r="D1160" s="25"/>
      <c r="E1160" s="47"/>
      <c r="F1160" s="154">
        <v>50000</v>
      </c>
      <c r="G1160" s="154">
        <v>0</v>
      </c>
      <c r="H1160" s="154">
        <v>0</v>
      </c>
      <c r="I1160" s="199"/>
      <c r="J1160" s="129">
        <f>H1160/H$54</f>
        <v>0</v>
      </c>
    </row>
    <row r="1161" spans="1:10" ht="15" customHeight="1">
      <c r="A1161" s="178">
        <f t="shared" si="66"/>
        <v>1030</v>
      </c>
      <c r="B1161" s="4"/>
      <c r="C1161" s="80" t="s">
        <v>670</v>
      </c>
      <c r="D1161" s="25"/>
      <c r="E1161" s="47"/>
      <c r="F1161" s="154">
        <v>0</v>
      </c>
      <c r="G1161" s="154">
        <v>50000</v>
      </c>
      <c r="H1161" s="154">
        <v>0</v>
      </c>
      <c r="I1161" s="199"/>
      <c r="J1161" s="129">
        <f>H1161/H$54</f>
        <v>0</v>
      </c>
    </row>
    <row r="1162" spans="1:10" s="74" customFormat="1" ht="12.75">
      <c r="A1162" s="178">
        <f t="shared" si="66"/>
        <v>1031</v>
      </c>
      <c r="B1162" s="63">
        <v>90015</v>
      </c>
      <c r="C1162" s="69" t="s">
        <v>140</v>
      </c>
      <c r="D1162" s="64"/>
      <c r="E1162" s="65" t="e">
        <f>E1163+E1164+E1166</f>
        <v>#REF!</v>
      </c>
      <c r="F1162" s="64">
        <f>F1163+F1164+F1165+F1166+F1170</f>
        <v>365450</v>
      </c>
      <c r="G1162" s="64">
        <f>G1163+G1164+G1165+G1166+G1170</f>
        <v>395950</v>
      </c>
      <c r="H1162" s="64">
        <f>H1163+H1164+H1165+H1166+H1170</f>
        <v>381040.2</v>
      </c>
      <c r="I1162" s="199">
        <f t="shared" si="65"/>
        <v>0.9623442353832555</v>
      </c>
      <c r="J1162" s="129">
        <f t="shared" si="63"/>
        <v>0.011991883442846503</v>
      </c>
    </row>
    <row r="1163" spans="1:10" ht="12.75">
      <c r="A1163" s="178">
        <f t="shared" si="66"/>
        <v>1032</v>
      </c>
      <c r="B1163" s="14">
        <v>4210</v>
      </c>
      <c r="C1163" s="80" t="s">
        <v>153</v>
      </c>
      <c r="D1163" s="28"/>
      <c r="E1163" s="47">
        <v>20000</v>
      </c>
      <c r="F1163" s="154">
        <v>0</v>
      </c>
      <c r="G1163" s="154">
        <v>6000</v>
      </c>
      <c r="H1163" s="154">
        <v>2426.01</v>
      </c>
      <c r="I1163" s="199">
        <f t="shared" si="65"/>
        <v>0.40433500000000006</v>
      </c>
      <c r="J1163" s="129">
        <f t="shared" si="63"/>
        <v>7.635002593211962E-05</v>
      </c>
    </row>
    <row r="1164" spans="1:10" ht="12.75">
      <c r="A1164" s="178">
        <f t="shared" si="66"/>
        <v>1033</v>
      </c>
      <c r="B1164" s="4">
        <v>4260</v>
      </c>
      <c r="C1164" s="80" t="s">
        <v>210</v>
      </c>
      <c r="D1164" s="25"/>
      <c r="E1164" s="48" t="e">
        <f>#REF!</f>
        <v>#REF!</v>
      </c>
      <c r="F1164" s="23">
        <v>233450</v>
      </c>
      <c r="G1164" s="166">
        <v>227750</v>
      </c>
      <c r="H1164" s="166">
        <v>227714.88</v>
      </c>
      <c r="I1164" s="199">
        <f t="shared" si="65"/>
        <v>0.9998457958287597</v>
      </c>
      <c r="J1164" s="129">
        <f t="shared" si="63"/>
        <v>0.007166514974435186</v>
      </c>
    </row>
    <row r="1165" spans="1:10" ht="12.75">
      <c r="A1165" s="178">
        <f t="shared" si="66"/>
        <v>1034</v>
      </c>
      <c r="B1165" s="4">
        <v>4270</v>
      </c>
      <c r="C1165" s="108" t="s">
        <v>590</v>
      </c>
      <c r="D1165" s="25"/>
      <c r="E1165" s="48"/>
      <c r="F1165" s="23">
        <v>0</v>
      </c>
      <c r="G1165" s="166">
        <v>91700</v>
      </c>
      <c r="H1165" s="166">
        <v>91011</v>
      </c>
      <c r="I1165" s="199">
        <f t="shared" si="65"/>
        <v>0.9924863685932388</v>
      </c>
      <c r="J1165" s="129">
        <f t="shared" si="63"/>
        <v>0.0028642471424718523</v>
      </c>
    </row>
    <row r="1166" spans="1:10" ht="12.75">
      <c r="A1166" s="178">
        <f t="shared" si="66"/>
        <v>1035</v>
      </c>
      <c r="B1166" s="4">
        <v>4300</v>
      </c>
      <c r="C1166" s="80" t="s">
        <v>151</v>
      </c>
      <c r="D1166" s="25"/>
      <c r="E1166" s="48">
        <f>SUM(E1168:E1169)</f>
        <v>95000</v>
      </c>
      <c r="F1166" s="23">
        <f>SUM(F1168:F1169)</f>
        <v>117000</v>
      </c>
      <c r="G1166" s="23">
        <f>SUM(G1168:G1169)</f>
        <v>25000</v>
      </c>
      <c r="H1166" s="23">
        <f>SUM(H1168:H1169)</f>
        <v>20030.91</v>
      </c>
      <c r="I1166" s="199">
        <f t="shared" si="65"/>
        <v>0.8012364</v>
      </c>
      <c r="J1166" s="129">
        <f t="shared" si="63"/>
        <v>0.0006304015638616304</v>
      </c>
    </row>
    <row r="1167" spans="1:10" ht="12.75">
      <c r="A1167" s="178">
        <f t="shared" si="66"/>
        <v>1036</v>
      </c>
      <c r="B1167" s="4"/>
      <c r="C1167" s="80" t="s">
        <v>15</v>
      </c>
      <c r="D1167" s="25"/>
      <c r="E1167" s="47"/>
      <c r="F1167" s="154"/>
      <c r="G1167" s="154"/>
      <c r="H1167" s="154"/>
      <c r="I1167" s="199"/>
      <c r="J1167" s="129"/>
    </row>
    <row r="1168" spans="1:10" ht="12.75">
      <c r="A1168" s="178">
        <f t="shared" si="66"/>
        <v>1037</v>
      </c>
      <c r="B1168" s="4"/>
      <c r="C1168" s="80" t="s">
        <v>591</v>
      </c>
      <c r="D1168" s="25"/>
      <c r="E1168" s="47">
        <v>85000</v>
      </c>
      <c r="F1168" s="154">
        <v>106000</v>
      </c>
      <c r="G1168" s="154">
        <v>7584.25</v>
      </c>
      <c r="H1168" s="154">
        <v>7584.25</v>
      </c>
      <c r="I1168" s="199">
        <f t="shared" si="65"/>
        <v>1</v>
      </c>
      <c r="J1168" s="129">
        <f t="shared" si="63"/>
        <v>0.00023868726187265435</v>
      </c>
    </row>
    <row r="1169" spans="1:10" ht="12.75">
      <c r="A1169" s="178">
        <f t="shared" si="66"/>
        <v>1038</v>
      </c>
      <c r="B1169" s="4"/>
      <c r="C1169" s="80" t="s">
        <v>287</v>
      </c>
      <c r="D1169" s="25"/>
      <c r="E1169" s="47">
        <v>10000</v>
      </c>
      <c r="F1169" s="154">
        <v>11000</v>
      </c>
      <c r="G1169" s="154">
        <v>17415.75</v>
      </c>
      <c r="H1169" s="154">
        <v>12446.66</v>
      </c>
      <c r="I1169" s="199">
        <f t="shared" si="65"/>
        <v>0.7146783802018288</v>
      </c>
      <c r="J1169" s="129">
        <f t="shared" si="63"/>
        <v>0.00039171430198897607</v>
      </c>
    </row>
    <row r="1170" spans="1:10" ht="12.75">
      <c r="A1170" s="178">
        <f t="shared" si="66"/>
        <v>1039</v>
      </c>
      <c r="B1170" s="4">
        <v>6050</v>
      </c>
      <c r="C1170" s="80" t="s">
        <v>216</v>
      </c>
      <c r="D1170" s="25"/>
      <c r="E1170" s="47"/>
      <c r="F1170" s="154">
        <f>SUM(F1172:F1173)</f>
        <v>15000</v>
      </c>
      <c r="G1170" s="154">
        <f>SUM(G1172:G1173)</f>
        <v>45500</v>
      </c>
      <c r="H1170" s="154">
        <f>SUM(H1172:H1173)</f>
        <v>39857.4</v>
      </c>
      <c r="I1170" s="199">
        <f t="shared" si="65"/>
        <v>0.8759868131868133</v>
      </c>
      <c r="J1170" s="129">
        <f t="shared" si="63"/>
        <v>0.0012543697361457142</v>
      </c>
    </row>
    <row r="1171" spans="1:10" ht="12.75">
      <c r="A1171" s="178">
        <f t="shared" si="66"/>
        <v>1040</v>
      </c>
      <c r="B1171" s="4"/>
      <c r="C1171" s="80" t="s">
        <v>15</v>
      </c>
      <c r="D1171" s="25"/>
      <c r="E1171" s="47"/>
      <c r="F1171" s="154"/>
      <c r="G1171" s="154"/>
      <c r="H1171" s="154"/>
      <c r="I1171" s="199"/>
      <c r="J1171" s="129"/>
    </row>
    <row r="1172" spans="1:10" ht="12.75">
      <c r="A1172" s="178">
        <f t="shared" si="66"/>
        <v>1041</v>
      </c>
      <c r="B1172" s="4"/>
      <c r="C1172" s="80" t="s">
        <v>419</v>
      </c>
      <c r="D1172" s="25"/>
      <c r="E1172" s="47"/>
      <c r="F1172" s="154">
        <v>15000</v>
      </c>
      <c r="G1172" s="154">
        <v>20500</v>
      </c>
      <c r="H1172" s="154">
        <v>20459.4</v>
      </c>
      <c r="I1172" s="199">
        <f t="shared" si="65"/>
        <v>0.998019512195122</v>
      </c>
      <c r="J1172" s="129">
        <f t="shared" si="63"/>
        <v>0.0006438867607947239</v>
      </c>
    </row>
    <row r="1173" spans="1:10" ht="12.75">
      <c r="A1173" s="178">
        <f t="shared" si="66"/>
        <v>1042</v>
      </c>
      <c r="B1173" s="4"/>
      <c r="C1173" s="80" t="s">
        <v>671</v>
      </c>
      <c r="D1173" s="25"/>
      <c r="E1173" s="47"/>
      <c r="F1173" s="154">
        <v>0</v>
      </c>
      <c r="G1173" s="154">
        <v>25000</v>
      </c>
      <c r="H1173" s="154">
        <v>19398</v>
      </c>
      <c r="I1173" s="199">
        <f t="shared" si="65"/>
        <v>0.77592</v>
      </c>
      <c r="J1173" s="129">
        <f t="shared" si="63"/>
        <v>0.0006104829753509904</v>
      </c>
    </row>
    <row r="1174" spans="1:10" s="74" customFormat="1" ht="12.75">
      <c r="A1174" s="178">
        <f t="shared" si="66"/>
        <v>1043</v>
      </c>
      <c r="B1174" s="63">
        <v>90017</v>
      </c>
      <c r="C1174" s="69" t="s">
        <v>198</v>
      </c>
      <c r="D1174" s="64"/>
      <c r="E1174" s="73">
        <f>E1176</f>
        <v>0</v>
      </c>
      <c r="F1174" s="164">
        <f>F1176+F1177</f>
        <v>150000</v>
      </c>
      <c r="G1174" s="164">
        <f>G1176+G1177</f>
        <v>811319</v>
      </c>
      <c r="H1174" s="164">
        <f>H1176+H1177</f>
        <v>621920.8899999999</v>
      </c>
      <c r="I1174" s="199">
        <f t="shared" si="65"/>
        <v>0.7665553130149791</v>
      </c>
      <c r="J1174" s="129">
        <f t="shared" si="63"/>
        <v>0.019572745404687904</v>
      </c>
    </row>
    <row r="1175" spans="1:10" ht="12.75">
      <c r="A1175" s="178">
        <f t="shared" si="66"/>
        <v>1044</v>
      </c>
      <c r="B1175" s="4">
        <v>2650</v>
      </c>
      <c r="C1175" s="80" t="s">
        <v>171</v>
      </c>
      <c r="D1175" s="25"/>
      <c r="E1175" s="47"/>
      <c r="F1175" s="154"/>
      <c r="G1175" s="154"/>
      <c r="H1175" s="154"/>
      <c r="I1175" s="199"/>
      <c r="J1175" s="129"/>
    </row>
    <row r="1176" spans="1:10" ht="12.75">
      <c r="A1176" s="178">
        <f t="shared" si="66"/>
        <v>1045</v>
      </c>
      <c r="B1176" s="4"/>
      <c r="C1176" s="80" t="s">
        <v>374</v>
      </c>
      <c r="D1176" s="25"/>
      <c r="E1176" s="47">
        <v>0</v>
      </c>
      <c r="F1176" s="154">
        <v>150000</v>
      </c>
      <c r="G1176" s="154">
        <v>150000</v>
      </c>
      <c r="H1176" s="154">
        <v>96253.7</v>
      </c>
      <c r="I1176" s="199">
        <f t="shared" si="65"/>
        <v>0.6416913333333333</v>
      </c>
      <c r="J1176" s="129">
        <f t="shared" si="63"/>
        <v>0.0030292424561574197</v>
      </c>
    </row>
    <row r="1177" spans="1:10" ht="12.75">
      <c r="A1177" s="178">
        <f t="shared" si="66"/>
        <v>1046</v>
      </c>
      <c r="B1177" s="4">
        <v>6210</v>
      </c>
      <c r="C1177" s="80" t="s">
        <v>221</v>
      </c>
      <c r="D1177" s="25"/>
      <c r="E1177" s="47"/>
      <c r="F1177" s="154">
        <f>SUM(F1180:F1186)</f>
        <v>0</v>
      </c>
      <c r="G1177" s="154">
        <f>SUM(G1180:G1186)</f>
        <v>661319</v>
      </c>
      <c r="H1177" s="154">
        <f>SUM(H1180:H1186)</f>
        <v>525667.19</v>
      </c>
      <c r="I1177" s="199">
        <f t="shared" si="65"/>
        <v>0.7948768899729177</v>
      </c>
      <c r="J1177" s="129">
        <f t="shared" si="63"/>
        <v>0.016543502948530485</v>
      </c>
    </row>
    <row r="1178" spans="1:10" ht="12.75">
      <c r="A1178" s="178">
        <f t="shared" si="66"/>
        <v>1047</v>
      </c>
      <c r="B1178" s="4"/>
      <c r="C1178" s="80" t="s">
        <v>15</v>
      </c>
      <c r="D1178" s="25"/>
      <c r="E1178" s="47"/>
      <c r="F1178" s="154"/>
      <c r="G1178" s="154"/>
      <c r="H1178" s="154"/>
      <c r="I1178" s="199"/>
      <c r="J1178" s="129"/>
    </row>
    <row r="1179" spans="1:10" ht="12.75">
      <c r="A1179" s="178">
        <f t="shared" si="66"/>
        <v>1048</v>
      </c>
      <c r="B1179" s="4"/>
      <c r="C1179" s="80" t="s">
        <v>592</v>
      </c>
      <c r="D1179" s="25"/>
      <c r="E1179" s="47"/>
      <c r="F1179" s="154"/>
      <c r="G1179" s="154"/>
      <c r="H1179" s="154"/>
      <c r="I1179" s="199"/>
      <c r="J1179" s="129"/>
    </row>
    <row r="1180" spans="1:10" ht="12.75">
      <c r="A1180" s="178">
        <f t="shared" si="66"/>
        <v>1049</v>
      </c>
      <c r="B1180" s="4"/>
      <c r="C1180" s="80" t="s">
        <v>593</v>
      </c>
      <c r="D1180" s="25"/>
      <c r="E1180" s="47"/>
      <c r="F1180" s="154">
        <v>0</v>
      </c>
      <c r="G1180" s="154">
        <v>560000</v>
      </c>
      <c r="H1180" s="154">
        <v>439500</v>
      </c>
      <c r="I1180" s="199">
        <f t="shared" si="65"/>
        <v>0.7848214285714286</v>
      </c>
      <c r="J1180" s="129">
        <f>H1180/H$54</f>
        <v>0.013831697477407996</v>
      </c>
    </row>
    <row r="1181" spans="1:10" ht="12.75">
      <c r="A1181" s="178">
        <f t="shared" si="66"/>
        <v>1050</v>
      </c>
      <c r="B1181" s="4"/>
      <c r="C1181" s="80" t="s">
        <v>594</v>
      </c>
      <c r="D1181" s="25"/>
      <c r="E1181" s="47"/>
      <c r="F1181" s="154"/>
      <c r="G1181" s="154"/>
      <c r="H1181" s="154"/>
      <c r="I1181" s="199"/>
      <c r="J1181" s="129"/>
    </row>
    <row r="1182" spans="1:10" ht="12.75">
      <c r="A1182" s="178">
        <f t="shared" si="66"/>
        <v>1051</v>
      </c>
      <c r="B1182" s="4"/>
      <c r="C1182" s="80" t="s">
        <v>595</v>
      </c>
      <c r="D1182" s="25"/>
      <c r="E1182" s="47"/>
      <c r="F1182" s="154">
        <v>0</v>
      </c>
      <c r="G1182" s="154">
        <v>10277</v>
      </c>
      <c r="H1182" s="154">
        <v>6824</v>
      </c>
      <c r="I1182" s="199">
        <f t="shared" si="65"/>
        <v>0.6640070059355843</v>
      </c>
      <c r="J1182" s="129">
        <f>H1182/H$54</f>
        <v>0.00021476110030906064</v>
      </c>
    </row>
    <row r="1183" spans="1:10" ht="12.75">
      <c r="A1183" s="178">
        <f t="shared" si="66"/>
        <v>1052</v>
      </c>
      <c r="B1183" s="4"/>
      <c r="C1183" s="80" t="s">
        <v>672</v>
      </c>
      <c r="D1183" s="25"/>
      <c r="E1183" s="47"/>
      <c r="F1183" s="154">
        <v>0</v>
      </c>
      <c r="G1183" s="154">
        <v>18000</v>
      </c>
      <c r="H1183" s="154">
        <v>18000</v>
      </c>
      <c r="I1183" s="199">
        <f>H1183/G1183</f>
        <v>1</v>
      </c>
      <c r="J1183" s="129">
        <f>H1183/H$54</f>
        <v>0.0005664859035115902</v>
      </c>
    </row>
    <row r="1184" spans="1:10" ht="12.75">
      <c r="A1184" s="178">
        <f t="shared" si="66"/>
        <v>1053</v>
      </c>
      <c r="B1184" s="4"/>
      <c r="C1184" s="80" t="s">
        <v>673</v>
      </c>
      <c r="D1184" s="25"/>
      <c r="E1184" s="47"/>
      <c r="F1184" s="154"/>
      <c r="G1184" s="154"/>
      <c r="H1184" s="154"/>
      <c r="I1184" s="199"/>
      <c r="J1184" s="129"/>
    </row>
    <row r="1185" spans="1:10" ht="12.75">
      <c r="A1185" s="178">
        <f t="shared" si="66"/>
        <v>1054</v>
      </c>
      <c r="B1185" s="4"/>
      <c r="C1185" s="80" t="s">
        <v>674</v>
      </c>
      <c r="D1185" s="25"/>
      <c r="E1185" s="47"/>
      <c r="F1185" s="154">
        <v>0</v>
      </c>
      <c r="G1185" s="154">
        <v>29000</v>
      </c>
      <c r="H1185" s="154">
        <v>25243.19</v>
      </c>
      <c r="I1185" s="199">
        <f>H1185/G1185</f>
        <v>0.8704548275862068</v>
      </c>
      <c r="J1185" s="129">
        <f>H1185/H$54</f>
        <v>0.0007944395163702633</v>
      </c>
    </row>
    <row r="1186" spans="1:10" ht="12.75">
      <c r="A1186" s="178">
        <f t="shared" si="66"/>
        <v>1055</v>
      </c>
      <c r="B1186" s="4"/>
      <c r="C1186" s="80" t="s">
        <v>675</v>
      </c>
      <c r="D1186" s="25"/>
      <c r="E1186" s="47"/>
      <c r="F1186" s="154">
        <v>0</v>
      </c>
      <c r="G1186" s="154">
        <v>44042</v>
      </c>
      <c r="H1186" s="154">
        <v>36100</v>
      </c>
      <c r="I1186" s="199">
        <f>H1186/G1186</f>
        <v>0.819672131147541</v>
      </c>
      <c r="J1186" s="129">
        <f>H1186/H$54</f>
        <v>0.0011361189509315783</v>
      </c>
    </row>
    <row r="1187" spans="1:10" s="74" customFormat="1" ht="12.75">
      <c r="A1187" s="178">
        <f t="shared" si="66"/>
        <v>1056</v>
      </c>
      <c r="B1187" s="63">
        <v>90095</v>
      </c>
      <c r="C1187" s="69" t="s">
        <v>25</v>
      </c>
      <c r="D1187" s="64"/>
      <c r="E1187" s="65" t="e">
        <f>E1198+#REF!</f>
        <v>#REF!</v>
      </c>
      <c r="F1187" s="64">
        <f>F1193+F1195+F1196+F1197+F1198+F1205+F1214+F1223+F1229+F1220</f>
        <v>1315940</v>
      </c>
      <c r="G1187" s="64">
        <f>G1193+G1195+G1196+G1197+G1198+G1205+G1214+G1223+G1229+G1220</f>
        <v>1577641.08</v>
      </c>
      <c r="H1187" s="64">
        <f>H1193+H1195+H1196+H1197+H1198+H1205+H1214+H1223+H1229+H1220</f>
        <v>823254.1799999999</v>
      </c>
      <c r="I1187" s="199">
        <f t="shared" si="65"/>
        <v>0.5218260290230271</v>
      </c>
      <c r="J1187" s="129">
        <f>H1187/H$54</f>
        <v>0.025908993776499627</v>
      </c>
    </row>
    <row r="1188" spans="1:10" s="223" customFormat="1" ht="12.75">
      <c r="A1188" s="178">
        <f aca="true" t="shared" si="67" ref="A1188:A1259">A1187+1</f>
        <v>1057</v>
      </c>
      <c r="B1188" s="226">
        <v>2310</v>
      </c>
      <c r="C1188" s="41" t="s">
        <v>469</v>
      </c>
      <c r="D1188" s="161"/>
      <c r="E1188" s="152"/>
      <c r="F1188" s="161"/>
      <c r="G1188" s="221"/>
      <c r="H1188" s="221"/>
      <c r="I1188" s="199"/>
      <c r="J1188" s="151"/>
    </row>
    <row r="1189" spans="1:10" s="223" customFormat="1" ht="12.75">
      <c r="A1189" s="178">
        <f t="shared" si="67"/>
        <v>1058</v>
      </c>
      <c r="B1189" s="225"/>
      <c r="C1189" s="41" t="s">
        <v>470</v>
      </c>
      <c r="D1189" s="161"/>
      <c r="E1189" s="152"/>
      <c r="F1189" s="161"/>
      <c r="G1189" s="221"/>
      <c r="H1189" s="221"/>
      <c r="I1189" s="199"/>
      <c r="J1189" s="151"/>
    </row>
    <row r="1190" spans="1:10" s="223" customFormat="1" ht="12.75">
      <c r="A1190" s="178">
        <f t="shared" si="67"/>
        <v>1059</v>
      </c>
      <c r="B1190" s="225"/>
      <c r="C1190" s="41" t="s">
        <v>471</v>
      </c>
      <c r="D1190" s="161"/>
      <c r="E1190" s="152"/>
      <c r="F1190" s="161"/>
      <c r="G1190" s="221"/>
      <c r="H1190" s="221"/>
      <c r="I1190" s="199"/>
      <c r="J1190" s="151"/>
    </row>
    <row r="1191" spans="1:10" s="223" customFormat="1" ht="12.75">
      <c r="A1191" s="178">
        <f t="shared" si="67"/>
        <v>1060</v>
      </c>
      <c r="B1191" s="225"/>
      <c r="C1191" s="41" t="s">
        <v>472</v>
      </c>
      <c r="D1191" s="161"/>
      <c r="E1191" s="152"/>
      <c r="F1191" s="161"/>
      <c r="G1191" s="221"/>
      <c r="H1191" s="221"/>
      <c r="I1191" s="199"/>
      <c r="J1191" s="151"/>
    </row>
    <row r="1192" spans="1:10" s="223" customFormat="1" ht="12.75">
      <c r="A1192" s="178">
        <f t="shared" si="67"/>
        <v>1061</v>
      </c>
      <c r="B1192" s="225"/>
      <c r="C1192" s="41" t="s">
        <v>473</v>
      </c>
      <c r="D1192" s="161"/>
      <c r="E1192" s="152"/>
      <c r="F1192" s="161"/>
      <c r="G1192" s="221"/>
      <c r="H1192" s="221"/>
      <c r="I1192" s="199"/>
      <c r="J1192" s="151"/>
    </row>
    <row r="1193" spans="1:10" s="223" customFormat="1" ht="12.75">
      <c r="A1193" s="178">
        <f t="shared" si="67"/>
        <v>1062</v>
      </c>
      <c r="B1193" s="225"/>
      <c r="C1193" s="41" t="s">
        <v>474</v>
      </c>
      <c r="D1193" s="161"/>
      <c r="E1193" s="152"/>
      <c r="F1193" s="161">
        <v>20000</v>
      </c>
      <c r="G1193" s="221">
        <v>25000</v>
      </c>
      <c r="H1193" s="221">
        <v>24989.46</v>
      </c>
      <c r="I1193" s="199">
        <f>H1193/G1193</f>
        <v>0.9995784</v>
      </c>
      <c r="J1193" s="129">
        <f aca="true" t="shared" si="68" ref="J1193:J1205">H1193/H$54</f>
        <v>0.0007864542681314858</v>
      </c>
    </row>
    <row r="1194" spans="1:10" s="74" customFormat="1" ht="12.75">
      <c r="A1194" s="178">
        <f t="shared" si="67"/>
        <v>1063</v>
      </c>
      <c r="B1194" s="153">
        <v>2620</v>
      </c>
      <c r="C1194" s="41" t="s">
        <v>375</v>
      </c>
      <c r="D1194" s="161"/>
      <c r="E1194" s="152"/>
      <c r="F1194" s="161"/>
      <c r="G1194" s="221"/>
      <c r="H1194" s="221"/>
      <c r="I1194" s="199"/>
      <c r="J1194" s="151"/>
    </row>
    <row r="1195" spans="1:10" s="74" customFormat="1" ht="12.75">
      <c r="A1195" s="178">
        <f t="shared" si="67"/>
        <v>1064</v>
      </c>
      <c r="B1195" s="150"/>
      <c r="C1195" s="41" t="s">
        <v>376</v>
      </c>
      <c r="D1195" s="161"/>
      <c r="E1195" s="152"/>
      <c r="F1195" s="161">
        <v>0</v>
      </c>
      <c r="G1195" s="221">
        <v>0</v>
      </c>
      <c r="H1195" s="221">
        <v>0</v>
      </c>
      <c r="I1195" s="199"/>
      <c r="J1195" s="129">
        <f t="shared" si="68"/>
        <v>0</v>
      </c>
    </row>
    <row r="1196" spans="1:10" s="61" customFormat="1" ht="12.75">
      <c r="A1196" s="178">
        <f t="shared" si="67"/>
        <v>1065</v>
      </c>
      <c r="B1196" s="107">
        <v>4210</v>
      </c>
      <c r="C1196" s="108" t="s">
        <v>242</v>
      </c>
      <c r="D1196" s="85"/>
      <c r="E1196" s="83"/>
      <c r="F1196" s="85">
        <v>0</v>
      </c>
      <c r="G1196" s="160">
        <v>0</v>
      </c>
      <c r="H1196" s="160">
        <v>0</v>
      </c>
      <c r="I1196" s="199"/>
      <c r="J1196" s="129">
        <f t="shared" si="68"/>
        <v>0</v>
      </c>
    </row>
    <row r="1197" spans="1:10" s="61" customFormat="1" ht="12.75">
      <c r="A1197" s="178">
        <f t="shared" si="67"/>
        <v>1066</v>
      </c>
      <c r="B1197" s="107">
        <v>4260</v>
      </c>
      <c r="C1197" s="108" t="s">
        <v>406</v>
      </c>
      <c r="D1197" s="85"/>
      <c r="E1197" s="83"/>
      <c r="F1197" s="85">
        <v>22500</v>
      </c>
      <c r="G1197" s="160">
        <v>37500</v>
      </c>
      <c r="H1197" s="160">
        <v>30322.25</v>
      </c>
      <c r="I1197" s="199">
        <f>H1197/G1197</f>
        <v>0.8085933333333334</v>
      </c>
      <c r="J1197" s="129">
        <f t="shared" si="68"/>
        <v>0.0009542848437641287</v>
      </c>
    </row>
    <row r="1198" spans="1:10" ht="12.75">
      <c r="A1198" s="178">
        <f t="shared" si="67"/>
        <v>1067</v>
      </c>
      <c r="B1198" s="4">
        <v>4300</v>
      </c>
      <c r="C1198" s="80" t="s">
        <v>151</v>
      </c>
      <c r="D1198" s="25"/>
      <c r="E1198" s="48">
        <f>SUM(E1200:E1200)</f>
        <v>0</v>
      </c>
      <c r="F1198" s="23">
        <f>SUM(F1200:F1204)</f>
        <v>43000</v>
      </c>
      <c r="G1198" s="23">
        <f>SUM(G1200:G1204)</f>
        <v>23650</v>
      </c>
      <c r="H1198" s="23">
        <f>SUM(H1200:H1204)</f>
        <v>10602.189999999999</v>
      </c>
      <c r="I1198" s="199">
        <f>H1198/G1198</f>
        <v>0.4482955602536997</v>
      </c>
      <c r="J1198" s="129">
        <f t="shared" si="68"/>
        <v>0.00033366617674175257</v>
      </c>
    </row>
    <row r="1199" spans="1:10" ht="12.75">
      <c r="A1199" s="178">
        <f t="shared" si="67"/>
        <v>1068</v>
      </c>
      <c r="B1199" s="4"/>
      <c r="C1199" s="80" t="s">
        <v>15</v>
      </c>
      <c r="D1199" s="25"/>
      <c r="E1199" s="99"/>
      <c r="F1199" s="166"/>
      <c r="G1199" s="166"/>
      <c r="H1199" s="166"/>
      <c r="I1199" s="199"/>
      <c r="J1199" s="129"/>
    </row>
    <row r="1200" spans="1:10" ht="12.75">
      <c r="A1200" s="178">
        <f t="shared" si="67"/>
        <v>1069</v>
      </c>
      <c r="B1200" s="4"/>
      <c r="C1200" s="80" t="s">
        <v>252</v>
      </c>
      <c r="D1200" s="25"/>
      <c r="E1200" s="47">
        <v>0</v>
      </c>
      <c r="F1200" s="154">
        <f>45000-20000</f>
        <v>25000</v>
      </c>
      <c r="G1200" s="154">
        <v>10000</v>
      </c>
      <c r="H1200" s="154">
        <v>4477.79</v>
      </c>
      <c r="I1200" s="199">
        <f>H1200/G1200</f>
        <v>0.447779</v>
      </c>
      <c r="J1200" s="129">
        <f t="shared" si="68"/>
        <v>0.00014092249521584243</v>
      </c>
    </row>
    <row r="1201" spans="1:10" ht="12.75">
      <c r="A1201" s="178">
        <f t="shared" si="67"/>
        <v>1070</v>
      </c>
      <c r="B1201" s="4"/>
      <c r="C1201" s="80" t="s">
        <v>392</v>
      </c>
      <c r="D1201" s="25"/>
      <c r="E1201" s="47"/>
      <c r="F1201" s="154">
        <v>0</v>
      </c>
      <c r="G1201" s="154">
        <v>0</v>
      </c>
      <c r="H1201" s="154">
        <v>0</v>
      </c>
      <c r="I1201" s="199"/>
      <c r="J1201" s="129">
        <f t="shared" si="68"/>
        <v>0</v>
      </c>
    </row>
    <row r="1202" spans="1:10" ht="12.75">
      <c r="A1202" s="178">
        <f t="shared" si="67"/>
        <v>1071</v>
      </c>
      <c r="B1202" s="4"/>
      <c r="C1202" s="208" t="s">
        <v>407</v>
      </c>
      <c r="D1202" s="25"/>
      <c r="E1202" s="47"/>
      <c r="F1202" s="154">
        <v>3000</v>
      </c>
      <c r="G1202" s="154">
        <v>3000</v>
      </c>
      <c r="H1202" s="154">
        <v>0</v>
      </c>
      <c r="I1202" s="199">
        <f>H1202/G1202</f>
        <v>0</v>
      </c>
      <c r="J1202" s="129">
        <f t="shared" si="68"/>
        <v>0</v>
      </c>
    </row>
    <row r="1203" spans="1:10" ht="12.75">
      <c r="A1203" s="178">
        <f t="shared" si="67"/>
        <v>1072</v>
      </c>
      <c r="B1203" s="4"/>
      <c r="C1203" s="80" t="s">
        <v>272</v>
      </c>
      <c r="D1203" s="25"/>
      <c r="E1203" s="47"/>
      <c r="F1203" s="154">
        <v>15000</v>
      </c>
      <c r="G1203" s="154">
        <v>10650</v>
      </c>
      <c r="H1203" s="154">
        <v>6124.4</v>
      </c>
      <c r="I1203" s="199">
        <f>H1203/G1203</f>
        <v>0.5750610328638497</v>
      </c>
      <c r="J1203" s="129">
        <f t="shared" si="68"/>
        <v>0.00019274368152591016</v>
      </c>
    </row>
    <row r="1204" spans="1:10" ht="12.75">
      <c r="A1204" s="178">
        <f t="shared" si="67"/>
        <v>1073</v>
      </c>
      <c r="B1204" s="4"/>
      <c r="C1204" s="80"/>
      <c r="D1204" s="25"/>
      <c r="E1204" s="47"/>
      <c r="F1204" s="154"/>
      <c r="G1204" s="154"/>
      <c r="H1204" s="154"/>
      <c r="I1204" s="199"/>
      <c r="J1204" s="129">
        <f t="shared" si="68"/>
        <v>0</v>
      </c>
    </row>
    <row r="1205" spans="1:10" ht="12.75">
      <c r="A1205" s="178">
        <f t="shared" si="67"/>
        <v>1074</v>
      </c>
      <c r="B1205" s="4">
        <v>6050</v>
      </c>
      <c r="C1205" s="80" t="s">
        <v>212</v>
      </c>
      <c r="D1205" s="25"/>
      <c r="E1205" s="47"/>
      <c r="F1205" s="154">
        <f>F1208+F1210+F1212</f>
        <v>760000</v>
      </c>
      <c r="G1205" s="154">
        <f>G1208+G1210+G1212</f>
        <v>1359716.08</v>
      </c>
      <c r="H1205" s="154">
        <f>H1208+H1210+H1212</f>
        <v>691592.9199999999</v>
      </c>
      <c r="I1205" s="199">
        <f>H1205/G1205</f>
        <v>0.5086303899561149</v>
      </c>
      <c r="J1205" s="129">
        <f t="shared" si="68"/>
        <v>0.02176542445268994</v>
      </c>
    </row>
    <row r="1206" spans="1:10" ht="12.75">
      <c r="A1206" s="178">
        <f t="shared" si="67"/>
        <v>1075</v>
      </c>
      <c r="B1206" s="4"/>
      <c r="C1206" s="80" t="s">
        <v>15</v>
      </c>
      <c r="D1206" s="25"/>
      <c r="E1206" s="47"/>
      <c r="F1206" s="154"/>
      <c r="G1206" s="154"/>
      <c r="H1206" s="154"/>
      <c r="I1206" s="199"/>
      <c r="J1206" s="129"/>
    </row>
    <row r="1207" spans="1:10" ht="12.75">
      <c r="A1207" s="178">
        <f t="shared" si="67"/>
        <v>1076</v>
      </c>
      <c r="B1207" s="4"/>
      <c r="C1207" s="80" t="s">
        <v>420</v>
      </c>
      <c r="D1207" s="25"/>
      <c r="E1207" s="47"/>
      <c r="F1207" s="154"/>
      <c r="G1207" s="154"/>
      <c r="H1207" s="154"/>
      <c r="I1207" s="199"/>
      <c r="J1207" s="129"/>
    </row>
    <row r="1208" spans="1:10" ht="12.75">
      <c r="A1208" s="178">
        <f t="shared" si="67"/>
        <v>1077</v>
      </c>
      <c r="B1208" s="4"/>
      <c r="C1208" s="80" t="s">
        <v>271</v>
      </c>
      <c r="D1208" s="25"/>
      <c r="E1208" s="47"/>
      <c r="F1208" s="154">
        <v>700000</v>
      </c>
      <c r="G1208" s="154">
        <v>700000</v>
      </c>
      <c r="H1208" s="154">
        <v>31909.96</v>
      </c>
      <c r="I1208" s="199">
        <f>H1208/G1208</f>
        <v>0.045585657142857144</v>
      </c>
      <c r="J1208" s="129">
        <f aca="true" t="shared" si="69" ref="J1208:J1214">H1208/H$54</f>
        <v>0.00100425236231215</v>
      </c>
    </row>
    <row r="1209" spans="1:10" ht="12.75">
      <c r="A1209" s="178">
        <f t="shared" si="67"/>
        <v>1078</v>
      </c>
      <c r="B1209" s="4"/>
      <c r="C1209" s="80" t="s">
        <v>377</v>
      </c>
      <c r="D1209" s="25"/>
      <c r="E1209" s="47"/>
      <c r="F1209" s="154"/>
      <c r="G1209" s="154"/>
      <c r="H1209" s="154"/>
      <c r="I1209" s="199"/>
      <c r="J1209" s="129"/>
    </row>
    <row r="1210" spans="1:10" ht="12.75">
      <c r="A1210" s="178">
        <f t="shared" si="67"/>
        <v>1079</v>
      </c>
      <c r="B1210" s="4"/>
      <c r="C1210" s="80" t="s">
        <v>378</v>
      </c>
      <c r="D1210" s="25"/>
      <c r="E1210" s="47"/>
      <c r="F1210" s="154">
        <v>0</v>
      </c>
      <c r="G1210" s="154">
        <v>569716.08</v>
      </c>
      <c r="H1210" s="154">
        <v>569716.08</v>
      </c>
      <c r="I1210" s="199">
        <f>H1210/G1210</f>
        <v>1</v>
      </c>
      <c r="J1210" s="129">
        <f t="shared" si="69"/>
        <v>0.0179297849068823</v>
      </c>
    </row>
    <row r="1211" spans="1:10" ht="12.75">
      <c r="A1211" s="178">
        <f t="shared" si="67"/>
        <v>1080</v>
      </c>
      <c r="B1211" s="4"/>
      <c r="C1211" s="80" t="s">
        <v>410</v>
      </c>
      <c r="D1211" s="25"/>
      <c r="E1211" s="47"/>
      <c r="F1211" s="154"/>
      <c r="G1211" s="154"/>
      <c r="H1211" s="154"/>
      <c r="I1211" s="199"/>
      <c r="J1211" s="129"/>
    </row>
    <row r="1212" spans="1:10" ht="12.75">
      <c r="A1212" s="178">
        <f t="shared" si="67"/>
        <v>1081</v>
      </c>
      <c r="B1212" s="4"/>
      <c r="C1212" s="80" t="s">
        <v>411</v>
      </c>
      <c r="D1212" s="25"/>
      <c r="E1212" s="47"/>
      <c r="F1212" s="154">
        <v>60000</v>
      </c>
      <c r="G1212" s="154">
        <v>90000</v>
      </c>
      <c r="H1212" s="154">
        <v>89966.88</v>
      </c>
      <c r="I1212" s="199">
        <f>H1212/G1212</f>
        <v>0.9996320000000001</v>
      </c>
      <c r="J1212" s="129">
        <f t="shared" si="69"/>
        <v>0.00283138718349549</v>
      </c>
    </row>
    <row r="1213" spans="1:10" ht="12.75">
      <c r="A1213" s="178">
        <f t="shared" si="67"/>
        <v>1082</v>
      </c>
      <c r="B1213" s="4">
        <v>6060</v>
      </c>
      <c r="C1213" s="80" t="s">
        <v>425</v>
      </c>
      <c r="D1213" s="25"/>
      <c r="E1213" s="47"/>
      <c r="F1213" s="154"/>
      <c r="G1213" s="154"/>
      <c r="H1213" s="154"/>
      <c r="I1213" s="199"/>
      <c r="J1213" s="129"/>
    </row>
    <row r="1214" spans="1:10" ht="12.75">
      <c r="A1214" s="178">
        <f t="shared" si="67"/>
        <v>1083</v>
      </c>
      <c r="B1214" s="4"/>
      <c r="C1214" s="80" t="s">
        <v>438</v>
      </c>
      <c r="D1214" s="25"/>
      <c r="E1214" s="47"/>
      <c r="F1214" s="154">
        <v>70000</v>
      </c>
      <c r="G1214" s="154">
        <v>70000</v>
      </c>
      <c r="H1214" s="154">
        <v>58972.36</v>
      </c>
      <c r="I1214" s="199">
        <f>H1214/G1214</f>
        <v>0.8424622857142857</v>
      </c>
      <c r="J1214" s="129">
        <f t="shared" si="69"/>
        <v>0.0018559450353783757</v>
      </c>
    </row>
    <row r="1215" spans="1:10" ht="12.75">
      <c r="A1215" s="178">
        <f t="shared" si="67"/>
        <v>1084</v>
      </c>
      <c r="B1215" s="4">
        <v>6220</v>
      </c>
      <c r="C1215" s="80" t="s">
        <v>676</v>
      </c>
      <c r="D1215" s="25"/>
      <c r="E1215" s="47"/>
      <c r="F1215" s="154"/>
      <c r="G1215" s="154"/>
      <c r="H1215" s="154"/>
      <c r="I1215" s="199"/>
      <c r="J1215" s="129"/>
    </row>
    <row r="1216" spans="1:10" ht="12.75">
      <c r="A1216" s="178">
        <f t="shared" si="67"/>
        <v>1085</v>
      </c>
      <c r="B1216" s="4"/>
      <c r="C1216" s="80" t="s">
        <v>677</v>
      </c>
      <c r="D1216" s="25"/>
      <c r="E1216" s="47"/>
      <c r="F1216" s="154"/>
      <c r="G1216" s="154"/>
      <c r="H1216" s="154"/>
      <c r="I1216" s="199"/>
      <c r="J1216" s="129"/>
    </row>
    <row r="1217" spans="1:10" ht="12.75">
      <c r="A1217" s="178">
        <f t="shared" si="67"/>
        <v>1086</v>
      </c>
      <c r="B1217" s="4"/>
      <c r="C1217" s="80" t="s">
        <v>678</v>
      </c>
      <c r="D1217" s="25"/>
      <c r="E1217" s="47"/>
      <c r="F1217" s="154"/>
      <c r="G1217" s="154"/>
      <c r="H1217" s="154"/>
      <c r="I1217" s="199"/>
      <c r="J1217" s="129"/>
    </row>
    <row r="1218" spans="1:10" ht="12.75">
      <c r="A1218" s="178">
        <f t="shared" si="67"/>
        <v>1087</v>
      </c>
      <c r="B1218" s="4"/>
      <c r="C1218" s="80" t="s">
        <v>679</v>
      </c>
      <c r="D1218" s="25"/>
      <c r="E1218" s="47"/>
      <c r="F1218" s="154"/>
      <c r="G1218" s="154"/>
      <c r="H1218" s="154"/>
      <c r="I1218" s="199"/>
      <c r="J1218" s="129"/>
    </row>
    <row r="1219" spans="1:10" ht="12.75">
      <c r="A1219" s="178">
        <f t="shared" si="67"/>
        <v>1088</v>
      </c>
      <c r="B1219" s="4"/>
      <c r="C1219" s="80" t="s">
        <v>680</v>
      </c>
      <c r="D1219" s="25"/>
      <c r="E1219" s="47"/>
      <c r="F1219" s="154"/>
      <c r="G1219" s="154"/>
      <c r="H1219" s="154"/>
      <c r="I1219" s="199"/>
      <c r="J1219" s="129"/>
    </row>
    <row r="1220" spans="1:10" ht="12.75">
      <c r="A1220" s="178">
        <f t="shared" si="67"/>
        <v>1089</v>
      </c>
      <c r="B1220" s="4"/>
      <c r="C1220" s="80" t="s">
        <v>681</v>
      </c>
      <c r="D1220" s="25"/>
      <c r="E1220" s="47"/>
      <c r="F1220" s="154">
        <v>0</v>
      </c>
      <c r="G1220" s="154">
        <v>55000</v>
      </c>
      <c r="H1220" s="154">
        <v>0</v>
      </c>
      <c r="I1220" s="199">
        <f>H1220/G1220</f>
        <v>0</v>
      </c>
      <c r="J1220" s="129">
        <f>H1220/H$54</f>
        <v>0</v>
      </c>
    </row>
    <row r="1221" spans="1:10" ht="12.75">
      <c r="A1221" s="178">
        <f t="shared" si="67"/>
        <v>1090</v>
      </c>
      <c r="B1221" s="4">
        <v>6610</v>
      </c>
      <c r="C1221" s="108" t="s">
        <v>290</v>
      </c>
      <c r="D1221" s="25"/>
      <c r="E1221" s="47"/>
      <c r="F1221" s="154"/>
      <c r="G1221" s="154"/>
      <c r="H1221" s="154"/>
      <c r="I1221" s="199"/>
      <c r="J1221" s="129"/>
    </row>
    <row r="1222" spans="1:10" ht="12.75">
      <c r="A1222" s="178">
        <f t="shared" si="67"/>
        <v>1091</v>
      </c>
      <c r="B1222" s="4"/>
      <c r="C1222" s="108" t="s">
        <v>291</v>
      </c>
      <c r="D1222" s="25"/>
      <c r="E1222" s="47"/>
      <c r="F1222" s="154"/>
      <c r="G1222" s="154"/>
      <c r="H1222" s="154"/>
      <c r="I1222" s="199"/>
      <c r="J1222" s="129"/>
    </row>
    <row r="1223" spans="1:10" ht="12.75">
      <c r="A1223" s="178">
        <f t="shared" si="67"/>
        <v>1092</v>
      </c>
      <c r="B1223" s="4"/>
      <c r="C1223" s="108" t="s">
        <v>292</v>
      </c>
      <c r="D1223" s="25"/>
      <c r="E1223" s="47"/>
      <c r="F1223" s="154">
        <v>100440</v>
      </c>
      <c r="G1223" s="154">
        <v>6775</v>
      </c>
      <c r="H1223" s="154">
        <v>6775</v>
      </c>
      <c r="I1223" s="199">
        <f>H1223/G1223</f>
        <v>1</v>
      </c>
      <c r="J1223" s="129">
        <f>H1223/H$54</f>
        <v>0.00021321899979394576</v>
      </c>
    </row>
    <row r="1224" spans="1:10" ht="12.75">
      <c r="A1224" s="178">
        <f t="shared" si="67"/>
        <v>1093</v>
      </c>
      <c r="B1224" s="4">
        <v>6640</v>
      </c>
      <c r="C1224" s="80" t="s">
        <v>421</v>
      </c>
      <c r="D1224" s="25"/>
      <c r="E1224" s="47"/>
      <c r="F1224" s="154"/>
      <c r="G1224" s="154"/>
      <c r="H1224" s="154"/>
      <c r="I1224" s="199"/>
      <c r="J1224" s="129"/>
    </row>
    <row r="1225" spans="1:10" ht="12.75">
      <c r="A1225" s="178">
        <f t="shared" si="67"/>
        <v>1094</v>
      </c>
      <c r="B1225" s="4"/>
      <c r="C1225" s="80" t="s">
        <v>496</v>
      </c>
      <c r="D1225" s="25"/>
      <c r="E1225" s="47"/>
      <c r="F1225" s="154"/>
      <c r="G1225" s="154"/>
      <c r="H1225" s="154"/>
      <c r="I1225" s="199"/>
      <c r="J1225" s="129"/>
    </row>
    <row r="1226" spans="1:10" ht="12.75">
      <c r="A1226" s="178">
        <f t="shared" si="67"/>
        <v>1095</v>
      </c>
      <c r="B1226" s="4"/>
      <c r="C1226" s="80" t="s">
        <v>422</v>
      </c>
      <c r="D1226" s="25"/>
      <c r="E1226" s="47"/>
      <c r="F1226" s="154"/>
      <c r="G1226" s="154"/>
      <c r="H1226" s="154"/>
      <c r="I1226" s="199"/>
      <c r="J1226" s="129"/>
    </row>
    <row r="1227" spans="1:10" ht="12.75">
      <c r="A1227" s="178">
        <f t="shared" si="67"/>
        <v>1096</v>
      </c>
      <c r="B1227" s="4"/>
      <c r="C1227" s="80" t="s">
        <v>269</v>
      </c>
      <c r="D1227" s="25"/>
      <c r="E1227" s="47"/>
      <c r="F1227" s="154"/>
      <c r="G1227" s="154"/>
      <c r="H1227" s="154"/>
      <c r="I1227" s="199"/>
      <c r="J1227" s="129"/>
    </row>
    <row r="1228" spans="1:10" ht="12.75">
      <c r="A1228" s="178">
        <f t="shared" si="67"/>
        <v>1097</v>
      </c>
      <c r="B1228" s="4"/>
      <c r="C1228" s="80" t="s">
        <v>423</v>
      </c>
      <c r="D1228" s="25"/>
      <c r="E1228" s="47"/>
      <c r="F1228" s="154"/>
      <c r="G1228" s="154"/>
      <c r="H1228" s="154"/>
      <c r="I1228" s="199"/>
      <c r="J1228" s="129"/>
    </row>
    <row r="1229" spans="1:10" ht="12.75">
      <c r="A1229" s="178">
        <f t="shared" si="67"/>
        <v>1098</v>
      </c>
      <c r="B1229" s="4"/>
      <c r="C1229" s="80" t="s">
        <v>424</v>
      </c>
      <c r="D1229" s="25"/>
      <c r="E1229" s="47"/>
      <c r="F1229" s="154">
        <v>300000</v>
      </c>
      <c r="G1229" s="154">
        <v>0</v>
      </c>
      <c r="H1229" s="154">
        <v>0</v>
      </c>
      <c r="I1229" s="199"/>
      <c r="J1229" s="129">
        <f aca="true" t="shared" si="70" ref="J1229:J1238">H1229/H$54</f>
        <v>0</v>
      </c>
    </row>
    <row r="1230" spans="1:10" s="71" customFormat="1" ht="12.75">
      <c r="A1230" s="178">
        <f t="shared" si="67"/>
        <v>1099</v>
      </c>
      <c r="B1230" s="57">
        <v>921</v>
      </c>
      <c r="C1230" s="79" t="s">
        <v>141</v>
      </c>
      <c r="D1230" s="59"/>
      <c r="E1230" s="72"/>
      <c r="F1230" s="167"/>
      <c r="G1230" s="167"/>
      <c r="H1230" s="167"/>
      <c r="I1230" s="199"/>
      <c r="J1230" s="129"/>
    </row>
    <row r="1231" spans="1:10" s="71" customFormat="1" ht="12.75">
      <c r="A1231" s="178">
        <f t="shared" si="67"/>
        <v>1100</v>
      </c>
      <c r="B1231" s="58"/>
      <c r="C1231" s="79" t="s">
        <v>142</v>
      </c>
      <c r="D1231" s="59"/>
      <c r="E1231" s="60" t="e">
        <f>E1232+E1235+E1253</f>
        <v>#REF!</v>
      </c>
      <c r="F1231" s="59">
        <f>F1232+F1235+F1238+F1253</f>
        <v>1933000</v>
      </c>
      <c r="G1231" s="59">
        <f>G1232+G1235+G1238+G1253</f>
        <v>1699315</v>
      </c>
      <c r="H1231" s="59">
        <f>H1232+H1235+H1238+H1253</f>
        <v>1393836.1600000001</v>
      </c>
      <c r="I1231" s="199">
        <f>H1231/G1231</f>
        <v>0.8202341296345882</v>
      </c>
      <c r="J1231" s="129">
        <f t="shared" si="70"/>
        <v>0.04386602980248475</v>
      </c>
    </row>
    <row r="1232" spans="1:10" s="74" customFormat="1" ht="12.75">
      <c r="A1232" s="178">
        <f t="shared" si="67"/>
        <v>1101</v>
      </c>
      <c r="B1232" s="63">
        <v>92109</v>
      </c>
      <c r="C1232" s="69" t="s">
        <v>143</v>
      </c>
      <c r="D1232" s="64"/>
      <c r="E1232" s="65" t="e">
        <f>#REF!</f>
        <v>#REF!</v>
      </c>
      <c r="F1232" s="64">
        <f>SUM(F1234:F1234)</f>
        <v>500000</v>
      </c>
      <c r="G1232" s="64">
        <f>SUM(G1234:G1234)</f>
        <v>718265</v>
      </c>
      <c r="H1232" s="64">
        <f>SUM(H1234:H1234)</f>
        <v>714262.16</v>
      </c>
      <c r="I1232" s="199">
        <f>H1232/G1232</f>
        <v>0.9944270707886366</v>
      </c>
      <c r="J1232" s="129">
        <f t="shared" si="70"/>
        <v>0.02247885805843</v>
      </c>
    </row>
    <row r="1233" spans="1:10" s="61" customFormat="1" ht="12.75">
      <c r="A1233" s="178">
        <f t="shared" si="67"/>
        <v>1102</v>
      </c>
      <c r="B1233" s="86">
        <v>2480</v>
      </c>
      <c r="C1233" s="80" t="s">
        <v>260</v>
      </c>
      <c r="D1233" s="85"/>
      <c r="E1233" s="84"/>
      <c r="F1233" s="160"/>
      <c r="G1233" s="160"/>
      <c r="H1233" s="160"/>
      <c r="I1233" s="199"/>
      <c r="J1233" s="129"/>
    </row>
    <row r="1234" spans="1:10" s="61" customFormat="1" ht="12.75">
      <c r="A1234" s="178">
        <f t="shared" si="67"/>
        <v>1103</v>
      </c>
      <c r="B1234" s="86"/>
      <c r="C1234" s="80" t="s">
        <v>261</v>
      </c>
      <c r="D1234" s="85"/>
      <c r="E1234" s="84"/>
      <c r="F1234" s="160">
        <f>350000+150000</f>
        <v>500000</v>
      </c>
      <c r="G1234" s="160">
        <v>718265</v>
      </c>
      <c r="H1234" s="160">
        <v>714262.16</v>
      </c>
      <c r="I1234" s="199">
        <f>H1234/G1234</f>
        <v>0.9944270707886366</v>
      </c>
      <c r="J1234" s="129">
        <f t="shared" si="70"/>
        <v>0.02247885805843</v>
      </c>
    </row>
    <row r="1235" spans="1:10" s="74" customFormat="1" ht="12.75" customHeight="1">
      <c r="A1235" s="178">
        <f t="shared" si="67"/>
        <v>1104</v>
      </c>
      <c r="B1235" s="63">
        <v>92116</v>
      </c>
      <c r="C1235" s="69" t="s">
        <v>50</v>
      </c>
      <c r="D1235" s="64"/>
      <c r="E1235" s="73" t="e">
        <f>#REF!</f>
        <v>#REF!</v>
      </c>
      <c r="F1235" s="164">
        <f>SUM(F1237:F1237)</f>
        <v>255000</v>
      </c>
      <c r="G1235" s="164">
        <f>SUM(G1237:G1237)</f>
        <v>264850</v>
      </c>
      <c r="H1235" s="164">
        <f>SUM(H1237:H1237)</f>
        <v>264850</v>
      </c>
      <c r="I1235" s="199">
        <f>H1235/G1235</f>
        <v>1</v>
      </c>
      <c r="J1235" s="129">
        <f t="shared" si="70"/>
        <v>0.008335210641391371</v>
      </c>
    </row>
    <row r="1236" spans="1:10" s="74" customFormat="1" ht="12.75" customHeight="1">
      <c r="A1236" s="178">
        <f t="shared" si="67"/>
        <v>1105</v>
      </c>
      <c r="B1236" s="86">
        <v>2480</v>
      </c>
      <c r="C1236" s="80" t="s">
        <v>260</v>
      </c>
      <c r="D1236" s="64"/>
      <c r="E1236" s="73"/>
      <c r="F1236" s="164"/>
      <c r="G1236" s="164"/>
      <c r="H1236" s="164"/>
      <c r="I1236" s="199"/>
      <c r="J1236" s="129"/>
    </row>
    <row r="1237" spans="1:10" s="74" customFormat="1" ht="12.75" customHeight="1">
      <c r="A1237" s="178">
        <f t="shared" si="67"/>
        <v>1106</v>
      </c>
      <c r="B1237" s="86"/>
      <c r="C1237" s="80" t="s">
        <v>261</v>
      </c>
      <c r="D1237" s="64"/>
      <c r="E1237" s="73"/>
      <c r="F1237" s="160">
        <f>240000+15000</f>
        <v>255000</v>
      </c>
      <c r="G1237" s="160">
        <v>264850</v>
      </c>
      <c r="H1237" s="160">
        <v>264850</v>
      </c>
      <c r="I1237" s="199">
        <f>H1237/G1237</f>
        <v>1</v>
      </c>
      <c r="J1237" s="129">
        <f t="shared" si="70"/>
        <v>0.008335210641391371</v>
      </c>
    </row>
    <row r="1238" spans="1:10" s="209" customFormat="1" ht="12.75" customHeight="1">
      <c r="A1238" s="178">
        <f t="shared" si="67"/>
        <v>1107</v>
      </c>
      <c r="B1238" s="210">
        <v>92120</v>
      </c>
      <c r="C1238" s="211" t="s">
        <v>426</v>
      </c>
      <c r="D1238" s="175"/>
      <c r="E1238" s="181"/>
      <c r="F1238" s="182">
        <f>F1241+F1252</f>
        <v>302300</v>
      </c>
      <c r="G1238" s="182">
        <f>G1241+G1252+G1247</f>
        <v>302300</v>
      </c>
      <c r="H1238" s="182">
        <f>H1241+H1252</f>
        <v>18056</v>
      </c>
      <c r="I1238" s="199">
        <f>H1238/G1238</f>
        <v>0.05972874627853126</v>
      </c>
      <c r="J1238" s="129">
        <f t="shared" si="70"/>
        <v>0.000568248304100293</v>
      </c>
    </row>
    <row r="1239" spans="1:10" s="209" customFormat="1" ht="12.75" customHeight="1">
      <c r="A1239" s="178">
        <f t="shared" si="67"/>
        <v>1108</v>
      </c>
      <c r="B1239" s="14">
        <v>6050</v>
      </c>
      <c r="C1239" s="80" t="s">
        <v>212</v>
      </c>
      <c r="D1239" s="175"/>
      <c r="E1239" s="181"/>
      <c r="F1239" s="182"/>
      <c r="G1239" s="182"/>
      <c r="H1239" s="182"/>
      <c r="I1239" s="199"/>
      <c r="J1239" s="212"/>
    </row>
    <row r="1240" spans="1:10" s="209" customFormat="1" ht="12.75" customHeight="1">
      <c r="A1240" s="178">
        <f t="shared" si="67"/>
        <v>1109</v>
      </c>
      <c r="B1240" s="14"/>
      <c r="C1240" s="108" t="s">
        <v>432</v>
      </c>
      <c r="D1240" s="175"/>
      <c r="E1240" s="181"/>
      <c r="F1240" s="182"/>
      <c r="G1240" s="182"/>
      <c r="H1240" s="182"/>
      <c r="I1240" s="199"/>
      <c r="J1240" s="212"/>
    </row>
    <row r="1241" spans="1:10" s="209" customFormat="1" ht="12.75" customHeight="1">
      <c r="A1241" s="178">
        <f t="shared" si="67"/>
        <v>1110</v>
      </c>
      <c r="B1241" s="210"/>
      <c r="C1241" s="178" t="s">
        <v>433</v>
      </c>
      <c r="D1241" s="175"/>
      <c r="E1241" s="181"/>
      <c r="F1241" s="154">
        <f>320000-220000</f>
        <v>100000</v>
      </c>
      <c r="G1241" s="154">
        <v>100000</v>
      </c>
      <c r="H1241" s="154">
        <v>18056</v>
      </c>
      <c r="I1241" s="199">
        <f>H1241/G1241</f>
        <v>0.18056</v>
      </c>
      <c r="J1241" s="129">
        <f>H1241/H$54</f>
        <v>0.000568248304100293</v>
      </c>
    </row>
    <row r="1242" spans="1:10" s="254" customFormat="1" ht="12.75" customHeight="1">
      <c r="A1242" s="178">
        <f t="shared" si="67"/>
        <v>1111</v>
      </c>
      <c r="B1242" s="248">
        <v>6230</v>
      </c>
      <c r="C1242" s="80" t="s">
        <v>676</v>
      </c>
      <c r="D1242" s="249"/>
      <c r="E1242" s="250"/>
      <c r="F1242" s="251"/>
      <c r="G1242" s="251"/>
      <c r="H1242" s="251"/>
      <c r="I1242" s="252"/>
      <c r="J1242" s="253"/>
    </row>
    <row r="1243" spans="1:10" s="209" customFormat="1" ht="12.75" customHeight="1">
      <c r="A1243" s="178">
        <f t="shared" si="67"/>
        <v>1112</v>
      </c>
      <c r="B1243" s="210"/>
      <c r="C1243" s="80" t="s">
        <v>677</v>
      </c>
      <c r="D1243" s="175"/>
      <c r="E1243" s="181"/>
      <c r="F1243" s="154"/>
      <c r="G1243" s="154"/>
      <c r="H1243" s="154"/>
      <c r="I1243" s="199"/>
      <c r="J1243" s="129"/>
    </row>
    <row r="1244" spans="1:10" s="209" customFormat="1" ht="12.75" customHeight="1">
      <c r="A1244" s="178">
        <f t="shared" si="67"/>
        <v>1113</v>
      </c>
      <c r="B1244" s="210"/>
      <c r="C1244" s="80" t="s">
        <v>678</v>
      </c>
      <c r="D1244" s="175"/>
      <c r="E1244" s="181"/>
      <c r="F1244" s="154"/>
      <c r="G1244" s="154"/>
      <c r="H1244" s="154"/>
      <c r="I1244" s="199"/>
      <c r="J1244" s="129"/>
    </row>
    <row r="1245" spans="1:10" s="209" customFormat="1" ht="12.75" customHeight="1">
      <c r="A1245" s="178">
        <f t="shared" si="67"/>
        <v>1114</v>
      </c>
      <c r="B1245" s="210"/>
      <c r="C1245" s="80" t="s">
        <v>682</v>
      </c>
      <c r="D1245" s="175"/>
      <c r="E1245" s="181"/>
      <c r="F1245" s="154"/>
      <c r="G1245" s="154"/>
      <c r="H1245" s="154"/>
      <c r="I1245" s="199"/>
      <c r="J1245" s="129"/>
    </row>
    <row r="1246" spans="1:10" s="209" customFormat="1" ht="12.75" customHeight="1">
      <c r="A1246" s="178">
        <f t="shared" si="67"/>
        <v>1115</v>
      </c>
      <c r="B1246" s="210"/>
      <c r="C1246" s="178" t="s">
        <v>683</v>
      </c>
      <c r="D1246" s="175"/>
      <c r="E1246" s="181"/>
      <c r="F1246" s="154"/>
      <c r="G1246" s="154"/>
      <c r="H1246" s="154"/>
      <c r="I1246" s="199"/>
      <c r="J1246" s="129"/>
    </row>
    <row r="1247" spans="1:10" s="209" customFormat="1" ht="12.75" customHeight="1">
      <c r="A1247" s="178">
        <f t="shared" si="67"/>
        <v>1116</v>
      </c>
      <c r="B1247" s="210"/>
      <c r="C1247" s="178" t="s">
        <v>684</v>
      </c>
      <c r="D1247" s="175"/>
      <c r="E1247" s="181"/>
      <c r="F1247" s="154">
        <v>0</v>
      </c>
      <c r="G1247" s="154">
        <v>108000</v>
      </c>
      <c r="H1247" s="154">
        <v>0</v>
      </c>
      <c r="I1247" s="199">
        <f>H1247/G1247</f>
        <v>0</v>
      </c>
      <c r="J1247" s="129">
        <f>H1247/H$54</f>
        <v>0</v>
      </c>
    </row>
    <row r="1248" spans="1:10" s="74" customFormat="1" ht="12.75" customHeight="1">
      <c r="A1248" s="178">
        <f t="shared" si="67"/>
        <v>1117</v>
      </c>
      <c r="B1248" s="86">
        <v>6800</v>
      </c>
      <c r="C1248" s="80" t="s">
        <v>427</v>
      </c>
      <c r="D1248" s="64"/>
      <c r="E1248" s="73"/>
      <c r="F1248" s="160"/>
      <c r="G1248" s="160"/>
      <c r="H1248" s="160"/>
      <c r="I1248" s="199"/>
      <c r="J1248" s="129"/>
    </row>
    <row r="1249" spans="1:10" s="74" customFormat="1" ht="12.75" customHeight="1">
      <c r="A1249" s="178">
        <f t="shared" si="67"/>
        <v>1118</v>
      </c>
      <c r="B1249" s="86"/>
      <c r="C1249" s="80" t="s">
        <v>428</v>
      </c>
      <c r="D1249" s="64"/>
      <c r="E1249" s="73"/>
      <c r="F1249" s="160"/>
      <c r="G1249" s="160"/>
      <c r="H1249" s="160"/>
      <c r="I1249" s="199"/>
      <c r="J1249" s="129"/>
    </row>
    <row r="1250" spans="1:10" s="74" customFormat="1" ht="12.75" customHeight="1">
      <c r="A1250" s="178">
        <f t="shared" si="67"/>
        <v>1119</v>
      </c>
      <c r="B1250" s="86"/>
      <c r="C1250" s="80" t="s">
        <v>429</v>
      </c>
      <c r="D1250" s="64"/>
      <c r="E1250" s="73"/>
      <c r="F1250" s="160"/>
      <c r="G1250" s="160"/>
      <c r="H1250" s="160"/>
      <c r="I1250" s="199"/>
      <c r="J1250" s="129"/>
    </row>
    <row r="1251" spans="1:10" s="74" customFormat="1" ht="12.75" customHeight="1">
      <c r="A1251" s="178">
        <f t="shared" si="67"/>
        <v>1120</v>
      </c>
      <c r="B1251" s="86"/>
      <c r="C1251" s="80" t="s">
        <v>430</v>
      </c>
      <c r="D1251" s="64"/>
      <c r="E1251" s="73"/>
      <c r="F1251" s="160"/>
      <c r="G1251" s="160"/>
      <c r="H1251" s="160"/>
      <c r="I1251" s="199"/>
      <c r="J1251" s="129"/>
    </row>
    <row r="1252" spans="1:10" s="74" customFormat="1" ht="12.75" customHeight="1">
      <c r="A1252" s="178">
        <f t="shared" si="67"/>
        <v>1121</v>
      </c>
      <c r="B1252" s="86"/>
      <c r="C1252" s="80" t="s">
        <v>431</v>
      </c>
      <c r="D1252" s="64"/>
      <c r="E1252" s="73"/>
      <c r="F1252" s="160">
        <v>202300</v>
      </c>
      <c r="G1252" s="160">
        <v>94300</v>
      </c>
      <c r="H1252" s="160">
        <v>0</v>
      </c>
      <c r="I1252" s="199">
        <f>H1252/G1252</f>
        <v>0</v>
      </c>
      <c r="J1252" s="129">
        <f aca="true" t="shared" si="71" ref="J1252:J1260">H1252/H$54</f>
        <v>0</v>
      </c>
    </row>
    <row r="1253" spans="1:10" s="74" customFormat="1" ht="12.75">
      <c r="A1253" s="178">
        <f t="shared" si="67"/>
        <v>1122</v>
      </c>
      <c r="B1253" s="63">
        <v>92195</v>
      </c>
      <c r="C1253" s="69" t="s">
        <v>25</v>
      </c>
      <c r="D1253" s="64"/>
      <c r="E1253" s="65" t="e">
        <f>#REF!+#REF!+#REF!</f>
        <v>#REF!</v>
      </c>
      <c r="F1253" s="64">
        <f>F1255+F1260+F1267+F1268+F1278</f>
        <v>875700</v>
      </c>
      <c r="G1253" s="64">
        <f>G1255+G1260+G1267+G1268+G1278</f>
        <v>413900</v>
      </c>
      <c r="H1253" s="64">
        <f>H1255+H1260+H1267+H1268+H1278</f>
        <v>396668</v>
      </c>
      <c r="I1253" s="199">
        <f>H1253/G1253</f>
        <v>0.9583667552548925</v>
      </c>
      <c r="J1253" s="129">
        <f t="shared" si="71"/>
        <v>0.012483712798563081</v>
      </c>
    </row>
    <row r="1254" spans="1:10" ht="12.75">
      <c r="A1254" s="178">
        <f t="shared" si="67"/>
        <v>1123</v>
      </c>
      <c r="B1254" s="4">
        <v>2820</v>
      </c>
      <c r="C1254" s="80" t="s">
        <v>243</v>
      </c>
      <c r="D1254" s="25"/>
      <c r="E1254" s="47"/>
      <c r="F1254" s="154"/>
      <c r="G1254" s="154"/>
      <c r="H1254" s="154"/>
      <c r="I1254" s="199"/>
      <c r="J1254" s="129"/>
    </row>
    <row r="1255" spans="1:10" ht="12.75">
      <c r="A1255" s="178">
        <f t="shared" si="67"/>
        <v>1124</v>
      </c>
      <c r="B1255" s="4"/>
      <c r="C1255" s="80" t="s">
        <v>244</v>
      </c>
      <c r="D1255" s="25"/>
      <c r="E1255" s="47"/>
      <c r="F1255" s="154">
        <f>SUM(F1257:F1258)</f>
        <v>35700</v>
      </c>
      <c r="G1255" s="154">
        <f>SUM(G1257:G1258)</f>
        <v>75700</v>
      </c>
      <c r="H1255" s="154">
        <f>SUM(H1257:H1258)</f>
        <v>75000</v>
      </c>
      <c r="I1255" s="199">
        <f>H1255/G1255</f>
        <v>0.9907529722589168</v>
      </c>
      <c r="J1255" s="129">
        <f t="shared" si="71"/>
        <v>0.002360357931298293</v>
      </c>
    </row>
    <row r="1256" spans="1:10" ht="12.75">
      <c r="A1256" s="178">
        <f t="shared" si="67"/>
        <v>1125</v>
      </c>
      <c r="B1256" s="4"/>
      <c r="C1256" s="80" t="s">
        <v>15</v>
      </c>
      <c r="D1256" s="25"/>
      <c r="E1256" s="47">
        <v>27500</v>
      </c>
      <c r="F1256" s="154"/>
      <c r="G1256" s="154"/>
      <c r="H1256" s="154"/>
      <c r="I1256" s="199"/>
      <c r="J1256" s="129"/>
    </row>
    <row r="1257" spans="1:10" ht="12.75">
      <c r="A1257" s="178">
        <f t="shared" si="67"/>
        <v>1126</v>
      </c>
      <c r="B1257" s="4"/>
      <c r="C1257" s="80" t="s">
        <v>596</v>
      </c>
      <c r="D1257" s="207"/>
      <c r="E1257" s="47"/>
      <c r="F1257" s="154">
        <v>35700</v>
      </c>
      <c r="G1257" s="154">
        <v>45700</v>
      </c>
      <c r="H1257" s="154">
        <v>45000</v>
      </c>
      <c r="I1257" s="199">
        <f>H1257/G1257</f>
        <v>0.9846827133479212</v>
      </c>
      <c r="J1257" s="129">
        <f t="shared" si="71"/>
        <v>0.0014162147587789755</v>
      </c>
    </row>
    <row r="1258" spans="1:10" ht="12.75">
      <c r="A1258" s="178">
        <f t="shared" si="67"/>
        <v>1127</v>
      </c>
      <c r="B1258" s="4"/>
      <c r="C1258" s="80" t="s">
        <v>597</v>
      </c>
      <c r="D1258" s="207"/>
      <c r="E1258" s="47"/>
      <c r="F1258" s="154">
        <v>0</v>
      </c>
      <c r="G1258" s="154">
        <v>30000</v>
      </c>
      <c r="H1258" s="154">
        <v>30000</v>
      </c>
      <c r="I1258" s="199">
        <f>H1258/G1258</f>
        <v>1</v>
      </c>
      <c r="J1258" s="129">
        <f t="shared" si="71"/>
        <v>0.000944143172519317</v>
      </c>
    </row>
    <row r="1259" spans="1:10" ht="12.75">
      <c r="A1259" s="178">
        <f t="shared" si="67"/>
        <v>1128</v>
      </c>
      <c r="B1259" s="4">
        <v>4300</v>
      </c>
      <c r="C1259" s="80" t="s">
        <v>598</v>
      </c>
      <c r="D1259" s="207"/>
      <c r="E1259" s="47"/>
      <c r="F1259" s="154"/>
      <c r="G1259" s="154"/>
      <c r="H1259" s="154"/>
      <c r="I1259" s="199"/>
      <c r="J1259" s="129"/>
    </row>
    <row r="1260" spans="1:10" ht="12.75">
      <c r="A1260" s="178">
        <f aca="true" t="shared" si="72" ref="A1260:A1301">A1259+1</f>
        <v>1129</v>
      </c>
      <c r="B1260" s="4"/>
      <c r="C1260" s="80" t="s">
        <v>599</v>
      </c>
      <c r="D1260" s="207"/>
      <c r="E1260" s="47"/>
      <c r="F1260" s="154">
        <v>0</v>
      </c>
      <c r="G1260" s="154">
        <v>0</v>
      </c>
      <c r="H1260" s="154">
        <v>0</v>
      </c>
      <c r="I1260" s="199"/>
      <c r="J1260" s="129">
        <f t="shared" si="71"/>
        <v>0</v>
      </c>
    </row>
    <row r="1261" spans="1:10" ht="12.75">
      <c r="A1261" s="178">
        <f t="shared" si="72"/>
        <v>1130</v>
      </c>
      <c r="B1261" s="4">
        <v>4810</v>
      </c>
      <c r="C1261" s="80" t="s">
        <v>403</v>
      </c>
      <c r="D1261" s="207"/>
      <c r="E1261" s="47"/>
      <c r="F1261" s="154"/>
      <c r="G1261" s="154"/>
      <c r="H1261" s="154"/>
      <c r="I1261" s="199"/>
      <c r="J1261" s="129"/>
    </row>
    <row r="1262" spans="1:10" ht="12.75">
      <c r="A1262" s="178">
        <f t="shared" si="72"/>
        <v>1131</v>
      </c>
      <c r="B1262" s="4"/>
      <c r="C1262" s="108" t="s">
        <v>404</v>
      </c>
      <c r="D1262" s="207"/>
      <c r="E1262" s="47"/>
      <c r="F1262" s="154"/>
      <c r="G1262" s="154"/>
      <c r="H1262" s="154"/>
      <c r="I1262" s="199"/>
      <c r="J1262" s="129"/>
    </row>
    <row r="1263" spans="1:10" ht="12.75">
      <c r="A1263" s="178">
        <f t="shared" si="72"/>
        <v>1132</v>
      </c>
      <c r="B1263" s="4"/>
      <c r="C1263" s="108" t="s">
        <v>475</v>
      </c>
      <c r="D1263" s="207"/>
      <c r="E1263" s="47"/>
      <c r="F1263" s="154"/>
      <c r="G1263" s="154"/>
      <c r="H1263" s="154"/>
      <c r="I1263" s="199"/>
      <c r="J1263" s="129"/>
    </row>
    <row r="1264" spans="1:10" ht="12.75">
      <c r="A1264" s="178">
        <f t="shared" si="72"/>
        <v>1133</v>
      </c>
      <c r="B1264" s="4"/>
      <c r="C1264" s="108" t="s">
        <v>476</v>
      </c>
      <c r="D1264" s="207"/>
      <c r="E1264" s="47"/>
      <c r="F1264" s="154"/>
      <c r="G1264" s="154"/>
      <c r="H1264" s="154"/>
      <c r="I1264" s="199"/>
      <c r="J1264" s="129"/>
    </row>
    <row r="1265" spans="1:10" ht="12.75">
      <c r="A1265" s="178">
        <f t="shared" si="72"/>
        <v>1134</v>
      </c>
      <c r="B1265" s="4"/>
      <c r="C1265" s="108" t="s">
        <v>477</v>
      </c>
      <c r="D1265" s="207"/>
      <c r="E1265" s="47"/>
      <c r="F1265" s="154"/>
      <c r="G1265" s="154"/>
      <c r="H1265" s="154"/>
      <c r="I1265" s="199"/>
      <c r="J1265" s="129"/>
    </row>
    <row r="1266" spans="1:10" ht="12.75">
      <c r="A1266" s="178">
        <f t="shared" si="72"/>
        <v>1135</v>
      </c>
      <c r="B1266" s="4"/>
      <c r="C1266" s="108" t="s">
        <v>478</v>
      </c>
      <c r="D1266" s="207"/>
      <c r="E1266" s="47"/>
      <c r="F1266" s="154"/>
      <c r="G1266" s="154"/>
      <c r="H1266" s="154"/>
      <c r="I1266" s="199"/>
      <c r="J1266" s="129"/>
    </row>
    <row r="1267" spans="1:10" ht="12.75">
      <c r="A1267" s="178">
        <f t="shared" si="72"/>
        <v>1136</v>
      </c>
      <c r="B1267" s="4"/>
      <c r="C1267" s="108" t="s">
        <v>479</v>
      </c>
      <c r="D1267" s="207"/>
      <c r="E1267" s="47"/>
      <c r="F1267" s="154">
        <f>870000-30000</f>
        <v>840000</v>
      </c>
      <c r="G1267" s="154">
        <v>0</v>
      </c>
      <c r="H1267" s="154">
        <v>0</v>
      </c>
      <c r="I1267" s="199"/>
      <c r="J1267" s="129">
        <f>H1267/H$54</f>
        <v>0</v>
      </c>
    </row>
    <row r="1268" spans="1:10" ht="12.75">
      <c r="A1268" s="178">
        <f t="shared" si="72"/>
        <v>1137</v>
      </c>
      <c r="B1268" s="4">
        <v>6050</v>
      </c>
      <c r="C1268" s="80" t="s">
        <v>212</v>
      </c>
      <c r="D1268" s="207"/>
      <c r="E1268" s="47"/>
      <c r="F1268" s="154">
        <f>SUM(F1273:F1274)</f>
        <v>0</v>
      </c>
      <c r="G1268" s="154">
        <f>SUM(G1273:G1276)</f>
        <v>338200</v>
      </c>
      <c r="H1268" s="154">
        <f>SUM(H1273:H1276)</f>
        <v>321668</v>
      </c>
      <c r="I1268" s="199">
        <f>H1268/G1268</f>
        <v>0.9511176818450621</v>
      </c>
      <c r="J1268" s="129">
        <f>H1268/H$54</f>
        <v>0.010123354867264789</v>
      </c>
    </row>
    <row r="1269" spans="1:10" ht="12.75">
      <c r="A1269" s="178">
        <f t="shared" si="72"/>
        <v>1138</v>
      </c>
      <c r="B1269" s="4"/>
      <c r="C1269" s="80" t="s">
        <v>15</v>
      </c>
      <c r="D1269" s="207"/>
      <c r="E1269" s="47"/>
      <c r="F1269" s="154"/>
      <c r="G1269" s="154"/>
      <c r="H1269" s="154"/>
      <c r="I1269" s="199"/>
      <c r="J1269" s="129"/>
    </row>
    <row r="1270" spans="1:10" ht="12.75">
      <c r="A1270" s="178">
        <f t="shared" si="72"/>
        <v>1139</v>
      </c>
      <c r="B1270" s="4"/>
      <c r="C1270" s="80" t="s">
        <v>600</v>
      </c>
      <c r="D1270" s="207"/>
      <c r="E1270" s="47"/>
      <c r="F1270" s="154"/>
      <c r="G1270" s="154"/>
      <c r="H1270" s="154"/>
      <c r="I1270" s="199"/>
      <c r="J1270" s="129"/>
    </row>
    <row r="1271" spans="1:10" ht="12.75">
      <c r="A1271" s="178">
        <f t="shared" si="72"/>
        <v>1140</v>
      </c>
      <c r="B1271" s="4"/>
      <c r="C1271" s="80" t="s">
        <v>601</v>
      </c>
      <c r="D1271" s="207"/>
      <c r="E1271" s="47"/>
      <c r="F1271" s="154"/>
      <c r="G1271" s="154"/>
      <c r="H1271" s="154"/>
      <c r="I1271" s="199"/>
      <c r="J1271" s="129"/>
    </row>
    <row r="1272" spans="1:10" ht="12.75">
      <c r="A1272" s="178">
        <f t="shared" si="72"/>
        <v>1141</v>
      </c>
      <c r="B1272" s="4"/>
      <c r="C1272" s="80" t="s">
        <v>602</v>
      </c>
      <c r="D1272" s="207"/>
      <c r="E1272" s="47"/>
      <c r="F1272" s="154"/>
      <c r="G1272" s="154"/>
      <c r="H1272" s="154"/>
      <c r="I1272" s="199"/>
      <c r="J1272" s="129"/>
    </row>
    <row r="1273" spans="1:10" ht="12.75">
      <c r="A1273" s="178">
        <f t="shared" si="72"/>
        <v>1142</v>
      </c>
      <c r="B1273" s="4"/>
      <c r="C1273" s="80" t="s">
        <v>603</v>
      </c>
      <c r="D1273" s="207"/>
      <c r="E1273" s="47"/>
      <c r="F1273" s="154">
        <v>0</v>
      </c>
      <c r="G1273" s="154">
        <v>272000</v>
      </c>
      <c r="H1273" s="154">
        <v>255468</v>
      </c>
      <c r="I1273" s="199">
        <f>H1273/G1273</f>
        <v>0.9392205882352941</v>
      </c>
      <c r="J1273" s="129">
        <f aca="true" t="shared" si="73" ref="J1273:J1290">H1273/H$54</f>
        <v>0.008039945599905497</v>
      </c>
    </row>
    <row r="1274" spans="1:10" ht="12.75">
      <c r="A1274" s="178">
        <f t="shared" si="72"/>
        <v>1143</v>
      </c>
      <c r="B1274" s="4"/>
      <c r="C1274" s="80" t="s">
        <v>604</v>
      </c>
      <c r="D1274" s="207"/>
      <c r="E1274" s="47"/>
      <c r="F1274" s="154">
        <v>0</v>
      </c>
      <c r="G1274" s="154">
        <v>12200</v>
      </c>
      <c r="H1274" s="154">
        <v>12200</v>
      </c>
      <c r="I1274" s="199">
        <f>H1274/G1274</f>
        <v>1</v>
      </c>
      <c r="J1274" s="129">
        <f t="shared" si="73"/>
        <v>0.00038395155682452225</v>
      </c>
    </row>
    <row r="1275" spans="1:10" ht="12.75">
      <c r="A1275" s="178">
        <f t="shared" si="72"/>
        <v>1144</v>
      </c>
      <c r="B1275" s="4"/>
      <c r="C1275" s="80" t="s">
        <v>685</v>
      </c>
      <c r="D1275" s="207"/>
      <c r="E1275" s="47"/>
      <c r="F1275" s="154">
        <v>0</v>
      </c>
      <c r="G1275" s="154">
        <v>9000</v>
      </c>
      <c r="H1275" s="154">
        <v>9000</v>
      </c>
      <c r="I1275" s="199">
        <f>H1275/G1275</f>
        <v>1</v>
      </c>
      <c r="J1275" s="129">
        <f>H1275/H$54</f>
        <v>0.0002832429517557951</v>
      </c>
    </row>
    <row r="1276" spans="1:10" ht="12.75">
      <c r="A1276" s="178">
        <f t="shared" si="72"/>
        <v>1145</v>
      </c>
      <c r="B1276" s="4"/>
      <c r="C1276" s="80" t="s">
        <v>686</v>
      </c>
      <c r="D1276" s="207"/>
      <c r="E1276" s="47"/>
      <c r="F1276" s="154">
        <v>0</v>
      </c>
      <c r="G1276" s="154">
        <v>45000</v>
      </c>
      <c r="H1276" s="154">
        <v>45000</v>
      </c>
      <c r="I1276" s="199">
        <f>H1276/G1276</f>
        <v>1</v>
      </c>
      <c r="J1276" s="129">
        <f>H1276/H$54</f>
        <v>0.0014162147587789755</v>
      </c>
    </row>
    <row r="1277" spans="1:10" ht="12.75">
      <c r="A1277" s="178">
        <f t="shared" si="72"/>
        <v>1146</v>
      </c>
      <c r="B1277" s="4">
        <v>6060</v>
      </c>
      <c r="C1277" s="80" t="s">
        <v>605</v>
      </c>
      <c r="D1277" s="207"/>
      <c r="E1277" s="47"/>
      <c r="F1277" s="154"/>
      <c r="G1277" s="154"/>
      <c r="H1277" s="154"/>
      <c r="I1277" s="199"/>
      <c r="J1277" s="129"/>
    </row>
    <row r="1278" spans="1:10" ht="12.75">
      <c r="A1278" s="178">
        <f t="shared" si="72"/>
        <v>1147</v>
      </c>
      <c r="B1278" s="4"/>
      <c r="C1278" s="80" t="s">
        <v>606</v>
      </c>
      <c r="D1278" s="207"/>
      <c r="E1278" s="47"/>
      <c r="F1278" s="154">
        <v>0</v>
      </c>
      <c r="G1278" s="154">
        <v>0</v>
      </c>
      <c r="H1278" s="154">
        <v>0</v>
      </c>
      <c r="I1278" s="199"/>
      <c r="J1278" s="129">
        <f t="shared" si="73"/>
        <v>0</v>
      </c>
    </row>
    <row r="1279" spans="1:10" s="71" customFormat="1" ht="12.75">
      <c r="A1279" s="178">
        <f t="shared" si="72"/>
        <v>1148</v>
      </c>
      <c r="B1279" s="57">
        <v>926</v>
      </c>
      <c r="C1279" s="79" t="s">
        <v>167</v>
      </c>
      <c r="D1279" s="87"/>
      <c r="E1279" s="59" t="e">
        <f>E1280</f>
        <v>#REF!</v>
      </c>
      <c r="F1279" s="59">
        <f>F1280</f>
        <v>193000</v>
      </c>
      <c r="G1279" s="59">
        <f>G1280</f>
        <v>205411</v>
      </c>
      <c r="H1279" s="59">
        <f>H1280</f>
        <v>184762.86999999997</v>
      </c>
      <c r="I1279" s="199">
        <f>H1279/G1279</f>
        <v>0.8994789470865726</v>
      </c>
      <c r="J1279" s="129">
        <f t="shared" si="73"/>
        <v>0.0058147534081858035</v>
      </c>
    </row>
    <row r="1280" spans="1:10" s="74" customFormat="1" ht="12.75">
      <c r="A1280" s="178">
        <f t="shared" si="72"/>
        <v>1149</v>
      </c>
      <c r="B1280" s="63">
        <v>92695</v>
      </c>
      <c r="C1280" s="69" t="s">
        <v>25</v>
      </c>
      <c r="D1280" s="88"/>
      <c r="E1280" s="64" t="e">
        <f>E1283+#REF!+#REF!</f>
        <v>#REF!</v>
      </c>
      <c r="F1280" s="64">
        <f>SUM(F1281:F1299)</f>
        <v>193000</v>
      </c>
      <c r="G1280" s="64">
        <f>SUM(G1281:G1299)</f>
        <v>205411</v>
      </c>
      <c r="H1280" s="64">
        <f>SUM(H1281:H1299)</f>
        <v>184762.86999999997</v>
      </c>
      <c r="I1280" s="199">
        <f>H1280/G1280</f>
        <v>0.8994789470865726</v>
      </c>
      <c r="J1280" s="129">
        <f t="shared" si="73"/>
        <v>0.0058147534081858035</v>
      </c>
    </row>
    <row r="1281" spans="1:10" s="61" customFormat="1" ht="12.75">
      <c r="A1281" s="178">
        <f t="shared" si="72"/>
        <v>1150</v>
      </c>
      <c r="B1281" s="86">
        <v>3250</v>
      </c>
      <c r="C1281" s="80" t="s">
        <v>607</v>
      </c>
      <c r="D1281" s="149"/>
      <c r="E1281" s="85"/>
      <c r="F1281" s="85">
        <v>0</v>
      </c>
      <c r="G1281" s="160">
        <v>29910</v>
      </c>
      <c r="H1281" s="160">
        <v>27760</v>
      </c>
      <c r="I1281" s="199">
        <f>H1281/G1281</f>
        <v>0.9281176863925109</v>
      </c>
      <c r="J1281" s="129">
        <f t="shared" si="73"/>
        <v>0.0008736471489712081</v>
      </c>
    </row>
    <row r="1282" spans="1:10" ht="12.75">
      <c r="A1282" s="178">
        <f t="shared" si="72"/>
        <v>1151</v>
      </c>
      <c r="B1282" s="4">
        <v>4110</v>
      </c>
      <c r="C1282" s="80" t="s">
        <v>329</v>
      </c>
      <c r="E1282" s="46"/>
      <c r="F1282" s="85">
        <v>0</v>
      </c>
      <c r="G1282" s="160">
        <v>1810</v>
      </c>
      <c r="H1282" s="160">
        <v>1808.39</v>
      </c>
      <c r="I1282" s="199"/>
      <c r="J1282" s="129">
        <f t="shared" si="73"/>
        <v>5.6912635725073596E-05</v>
      </c>
    </row>
    <row r="1283" spans="1:10" ht="12.75">
      <c r="A1283" s="178">
        <f t="shared" si="72"/>
        <v>1152</v>
      </c>
      <c r="B1283" s="4">
        <v>4120</v>
      </c>
      <c r="C1283" s="80" t="s">
        <v>330</v>
      </c>
      <c r="E1283" s="46" t="e">
        <f>SUM(#REF!)</f>
        <v>#REF!</v>
      </c>
      <c r="F1283" s="85">
        <v>0</v>
      </c>
      <c r="G1283" s="160">
        <v>280</v>
      </c>
      <c r="H1283" s="160">
        <v>259.1</v>
      </c>
      <c r="I1283" s="199"/>
      <c r="J1283" s="129">
        <f t="shared" si="73"/>
        <v>8.154249866658502E-06</v>
      </c>
    </row>
    <row r="1284" spans="1:10" ht="12.75">
      <c r="A1284" s="178">
        <f t="shared" si="72"/>
        <v>1153</v>
      </c>
      <c r="B1284" s="37">
        <v>4170</v>
      </c>
      <c r="C1284" s="108" t="s">
        <v>331</v>
      </c>
      <c r="E1284" s="90"/>
      <c r="F1284" s="160">
        <v>48000</v>
      </c>
      <c r="G1284" s="160">
        <v>61000</v>
      </c>
      <c r="H1284" s="160">
        <v>46905</v>
      </c>
      <c r="I1284" s="199">
        <f>H1284/G1284</f>
        <v>0.7689344262295082</v>
      </c>
      <c r="J1284" s="129">
        <f t="shared" si="73"/>
        <v>0.0014761678502339523</v>
      </c>
    </row>
    <row r="1285" spans="1:10" ht="12.75">
      <c r="A1285" s="178">
        <f t="shared" si="72"/>
        <v>1154</v>
      </c>
      <c r="B1285" s="37">
        <v>4210</v>
      </c>
      <c r="C1285" s="108" t="s">
        <v>332</v>
      </c>
      <c r="E1285" s="90"/>
      <c r="F1285" s="160">
        <v>20000</v>
      </c>
      <c r="G1285" s="160">
        <v>36000</v>
      </c>
      <c r="H1285" s="160">
        <v>34644.45</v>
      </c>
      <c r="I1285" s="199">
        <f>H1285/G1285</f>
        <v>0.9623458333333332</v>
      </c>
      <c r="J1285" s="129">
        <f t="shared" si="73"/>
        <v>0.001090310697772895</v>
      </c>
    </row>
    <row r="1286" spans="1:10" ht="12.75">
      <c r="A1286" s="178">
        <f t="shared" si="72"/>
        <v>1155</v>
      </c>
      <c r="B1286" s="37">
        <v>4270</v>
      </c>
      <c r="C1286" s="80" t="s">
        <v>245</v>
      </c>
      <c r="E1286" s="90"/>
      <c r="F1286" s="160">
        <v>0</v>
      </c>
      <c r="G1286" s="160">
        <v>0</v>
      </c>
      <c r="H1286" s="160">
        <v>0</v>
      </c>
      <c r="I1286" s="199"/>
      <c r="J1286" s="129">
        <f t="shared" si="73"/>
        <v>0</v>
      </c>
    </row>
    <row r="1287" spans="1:10" ht="12.75">
      <c r="A1287" s="178">
        <f t="shared" si="72"/>
        <v>1156</v>
      </c>
      <c r="B1287" s="37">
        <v>4300</v>
      </c>
      <c r="C1287" s="80" t="s">
        <v>333</v>
      </c>
      <c r="E1287" s="90"/>
      <c r="F1287" s="160">
        <v>25000</v>
      </c>
      <c r="G1287" s="160">
        <v>62000</v>
      </c>
      <c r="H1287" s="160">
        <v>60992.53</v>
      </c>
      <c r="I1287" s="199">
        <f>H1287/G1287</f>
        <v>0.9837504838709678</v>
      </c>
      <c r="J1287" s="129">
        <f t="shared" si="73"/>
        <v>0.001919522692472654</v>
      </c>
    </row>
    <row r="1288" spans="1:10" ht="12.75">
      <c r="A1288" s="178">
        <f t="shared" si="72"/>
        <v>1157</v>
      </c>
      <c r="B1288" s="37">
        <v>4410</v>
      </c>
      <c r="C1288" s="80" t="s">
        <v>334</v>
      </c>
      <c r="E1288" s="90"/>
      <c r="F1288" s="160">
        <v>4000</v>
      </c>
      <c r="G1288" s="160">
        <v>3000</v>
      </c>
      <c r="H1288" s="160">
        <v>2458.4</v>
      </c>
      <c r="I1288" s="199">
        <f>H1288/G1288</f>
        <v>0.8194666666666667</v>
      </c>
      <c r="J1288" s="129">
        <f t="shared" si="73"/>
        <v>7.736938584404963E-05</v>
      </c>
    </row>
    <row r="1289" spans="1:10" ht="12.75">
      <c r="A1289" s="178">
        <f t="shared" si="72"/>
        <v>1158</v>
      </c>
      <c r="B1289" s="37">
        <v>4430</v>
      </c>
      <c r="C1289" s="80" t="s">
        <v>335</v>
      </c>
      <c r="E1289" s="90"/>
      <c r="F1289" s="160">
        <v>6000</v>
      </c>
      <c r="G1289" s="160">
        <v>7000</v>
      </c>
      <c r="H1289" s="160">
        <v>5524</v>
      </c>
      <c r="I1289" s="199">
        <f>H1289/G1289</f>
        <v>0.7891428571428571</v>
      </c>
      <c r="J1289" s="129">
        <f t="shared" si="73"/>
        <v>0.00017384822949989025</v>
      </c>
    </row>
    <row r="1290" spans="1:10" ht="12.75">
      <c r="A1290" s="178">
        <f t="shared" si="72"/>
        <v>1159</v>
      </c>
      <c r="B1290" s="183">
        <v>4480</v>
      </c>
      <c r="C1290" s="80" t="s">
        <v>379</v>
      </c>
      <c r="E1290" s="90"/>
      <c r="F1290" s="160">
        <v>0</v>
      </c>
      <c r="G1290" s="85">
        <v>4411</v>
      </c>
      <c r="H1290" s="85">
        <v>4411</v>
      </c>
      <c r="I1290" s="199">
        <f>H1290/G1290</f>
        <v>1</v>
      </c>
      <c r="J1290" s="129">
        <f t="shared" si="73"/>
        <v>0.0001388205177994236</v>
      </c>
    </row>
    <row r="1291" spans="1:10" ht="12.75">
      <c r="A1291" s="178">
        <f t="shared" si="72"/>
        <v>1160</v>
      </c>
      <c r="B1291" s="183">
        <v>4810</v>
      </c>
      <c r="C1291" s="80" t="s">
        <v>403</v>
      </c>
      <c r="E1291" s="90"/>
      <c r="F1291" s="160"/>
      <c r="G1291" s="85"/>
      <c r="H1291" s="85"/>
      <c r="I1291" s="199"/>
      <c r="J1291" s="185"/>
    </row>
    <row r="1292" spans="1:10" ht="12.75">
      <c r="A1292" s="178">
        <f t="shared" si="72"/>
        <v>1161</v>
      </c>
      <c r="B1292" s="183"/>
      <c r="C1292" s="80" t="s">
        <v>405</v>
      </c>
      <c r="E1292" s="90"/>
      <c r="F1292" s="160"/>
      <c r="G1292" s="85"/>
      <c r="H1292" s="85"/>
      <c r="I1292" s="199"/>
      <c r="J1292" s="185"/>
    </row>
    <row r="1293" spans="1:10" ht="12.75">
      <c r="A1293" s="178">
        <f t="shared" si="72"/>
        <v>1162</v>
      </c>
      <c r="B1293" s="183"/>
      <c r="C1293" s="108" t="s">
        <v>480</v>
      </c>
      <c r="E1293" s="90"/>
      <c r="F1293" s="160"/>
      <c r="G1293" s="85"/>
      <c r="H1293" s="85"/>
      <c r="I1293" s="199"/>
      <c r="J1293" s="185"/>
    </row>
    <row r="1294" spans="1:10" ht="12.75">
      <c r="A1294" s="178">
        <f t="shared" si="72"/>
        <v>1163</v>
      </c>
      <c r="B1294" s="183"/>
      <c r="C1294" s="108" t="s">
        <v>481</v>
      </c>
      <c r="E1294" s="90"/>
      <c r="F1294" s="160"/>
      <c r="G1294" s="85"/>
      <c r="H1294" s="85"/>
      <c r="I1294" s="199"/>
      <c r="J1294" s="185"/>
    </row>
    <row r="1295" spans="1:10" ht="12.75">
      <c r="A1295" s="178">
        <f t="shared" si="72"/>
        <v>1164</v>
      </c>
      <c r="B1295" s="183"/>
      <c r="C1295" s="108" t="s">
        <v>483</v>
      </c>
      <c r="E1295" s="90"/>
      <c r="F1295" s="160"/>
      <c r="G1295" s="85"/>
      <c r="H1295" s="85"/>
      <c r="I1295" s="199"/>
      <c r="J1295" s="185"/>
    </row>
    <row r="1296" spans="1:10" ht="12.75">
      <c r="A1296" s="178">
        <f t="shared" si="72"/>
        <v>1165</v>
      </c>
      <c r="B1296" s="183"/>
      <c r="C1296" s="108" t="s">
        <v>484</v>
      </c>
      <c r="E1296" s="90"/>
      <c r="F1296" s="160"/>
      <c r="G1296" s="85"/>
      <c r="H1296" s="85"/>
      <c r="I1296" s="199"/>
      <c r="J1296" s="185"/>
    </row>
    <row r="1297" spans="1:10" ht="12.75">
      <c r="A1297" s="178">
        <f t="shared" si="72"/>
        <v>1166</v>
      </c>
      <c r="B1297" s="183"/>
      <c r="C1297" s="108" t="s">
        <v>485</v>
      </c>
      <c r="E1297" s="90"/>
      <c r="F1297" s="160"/>
      <c r="G1297" s="85"/>
      <c r="H1297" s="85"/>
      <c r="I1297" s="199"/>
      <c r="J1297" s="185"/>
    </row>
    <row r="1298" spans="1:10" ht="12.75">
      <c r="A1298" s="178">
        <f t="shared" si="72"/>
        <v>1167</v>
      </c>
      <c r="B1298" s="183"/>
      <c r="C1298" s="108" t="s">
        <v>482</v>
      </c>
      <c r="E1298" s="90"/>
      <c r="F1298" s="160"/>
      <c r="G1298" s="85"/>
      <c r="H1298" s="85"/>
      <c r="I1298" s="199"/>
      <c r="J1298" s="185"/>
    </row>
    <row r="1299" spans="1:10" ht="12.75">
      <c r="A1299" s="178">
        <f t="shared" si="72"/>
        <v>1168</v>
      </c>
      <c r="B1299" s="183"/>
      <c r="C1299" s="108" t="s">
        <v>486</v>
      </c>
      <c r="E1299" s="90"/>
      <c r="F1299" s="160">
        <f>130000-40000</f>
        <v>90000</v>
      </c>
      <c r="G1299" s="85">
        <v>0</v>
      </c>
      <c r="H1299" s="85">
        <v>0</v>
      </c>
      <c r="I1299" s="199"/>
      <c r="J1299" s="129">
        <f>H1299/H$54</f>
        <v>0</v>
      </c>
    </row>
    <row r="1300" spans="1:10" ht="12.75">
      <c r="A1300" s="178">
        <f t="shared" si="72"/>
        <v>1169</v>
      </c>
      <c r="B1300" s="3"/>
      <c r="C1300" s="125"/>
      <c r="D1300" s="22"/>
      <c r="E1300" s="92"/>
      <c r="F1300" s="172"/>
      <c r="G1300" s="240"/>
      <c r="H1300" s="172"/>
      <c r="I1300" s="109"/>
      <c r="J1300" s="130"/>
    </row>
    <row r="1301" spans="1:10" s="71" customFormat="1" ht="12.75">
      <c r="A1301" s="178">
        <f t="shared" si="72"/>
        <v>1170</v>
      </c>
      <c r="B1301" s="143"/>
      <c r="C1301" s="144" t="s">
        <v>169</v>
      </c>
      <c r="D1301" s="145"/>
      <c r="E1301" s="146" t="e">
        <f>E1279++E1231+E1134+E1001+#REF!+E847+E587+E580+E566+E494+E468+E253+E215+E163+E155+E82+E67</f>
        <v>#REF!</v>
      </c>
      <c r="F1301" s="173">
        <f>F1279+F1231+F1134+F1001+F881+F847+F587+F580+F566+F494+F490+F468+F253+F215+F163+F155+F82+F67</f>
        <v>33075622.34</v>
      </c>
      <c r="G1301" s="173">
        <f>G1279+G1231+G1134+G1001+G881+G847+G587+G580+G566+G494+G490+G468+G253+G215+G163+G155+G82+G67</f>
        <v>36276927.68</v>
      </c>
      <c r="H1301" s="173">
        <f>H1279+H1231+H1134+H1001+H881+H847+H587+H580+H566+H494+H490+H468+H253+H215+H163+H155+H82+H67</f>
        <v>31774841.86</v>
      </c>
      <c r="I1301" s="204">
        <f>H1301/G1301</f>
        <v>0.8758967170617906</v>
      </c>
      <c r="J1301" s="147">
        <f>H1301/H$54</f>
        <v>0.9999999999999999</v>
      </c>
    </row>
    <row r="1302" ht="12.75">
      <c r="E1302" s="89"/>
    </row>
  </sheetData>
  <printOptions/>
  <pageMargins left="0.2755905511811024" right="0" top="0.7086614173228347" bottom="0.5118110236220472" header="0.31496062992125984" footer="0.11811023622047245"/>
  <pageSetup horizontalDpi="600" verticalDpi="600" orientation="portrait" paperSize="9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2006-12-21T11:46:44Z</cp:lastPrinted>
  <dcterms:created xsi:type="dcterms:W3CDTF">2000-10-12T12:51:35Z</dcterms:created>
  <dcterms:modified xsi:type="dcterms:W3CDTF">2008-03-14T07:25:32Z</dcterms:modified>
  <cp:category/>
  <cp:version/>
  <cp:contentType/>
  <cp:contentStatus/>
</cp:coreProperties>
</file>