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475" activeTab="0"/>
  </bookViews>
  <sheets>
    <sheet name="OPIS97" sheetId="1" r:id="rId1"/>
  </sheets>
  <definedNames>
    <definedName name="_xlnm.Print_Area" localSheetId="0">'OPIS97'!$A$1:$I$713</definedName>
  </definedNames>
  <calcPr fullCalcOnLoad="1"/>
</workbook>
</file>

<file path=xl/sharedStrings.xml><?xml version="1.0" encoding="utf-8"?>
<sst xmlns="http://schemas.openxmlformats.org/spreadsheetml/2006/main" count="667" uniqueCount="581">
  <si>
    <t>Opis dochodów   w  zł</t>
  </si>
  <si>
    <t>Struktura</t>
  </si>
  <si>
    <t xml:space="preserve">Dochody ogółem przewiduje się na sumę </t>
  </si>
  <si>
    <t>w tym :</t>
  </si>
  <si>
    <t>OŚWIATA  I  WYCHOWANIE</t>
  </si>
  <si>
    <t>Dochody ogółem przewiduje się na kwotę</t>
  </si>
  <si>
    <t>z tego:</t>
  </si>
  <si>
    <t xml:space="preserve"> 1/ dzierżawy sal lekcyjnych,gimnastycznych</t>
  </si>
  <si>
    <t xml:space="preserve">     siłowni i innych </t>
  </si>
  <si>
    <t xml:space="preserve">     z czego przpada na:</t>
  </si>
  <si>
    <t xml:space="preserve">     szkoła podstawowa nr 1 </t>
  </si>
  <si>
    <t xml:space="preserve">     szkoła podstawowa nr 2</t>
  </si>
  <si>
    <t xml:space="preserve">     gimnazjum</t>
  </si>
  <si>
    <t xml:space="preserve">   z czego przypada na:</t>
  </si>
  <si>
    <t>Dochody ogółem przewiduje się na sumę</t>
  </si>
  <si>
    <t>w tym:</t>
  </si>
  <si>
    <t>DOCHODY  OD  OSÓB  PRAWNYCH, OSÓB FIZYCZNYCH</t>
  </si>
  <si>
    <t>Dochody ogółem wynoszą</t>
  </si>
  <si>
    <t>RÓŻNE  ROZLICZENIA</t>
  </si>
  <si>
    <t xml:space="preserve">   z tego na:</t>
  </si>
  <si>
    <t xml:space="preserve"> D O C H O D Y     O G Ó Ł E M</t>
  </si>
  <si>
    <t>Opis wydatków  w zł</t>
  </si>
  <si>
    <t>struktura</t>
  </si>
  <si>
    <t xml:space="preserve">1.utrzymanie czystości  </t>
  </si>
  <si>
    <t xml:space="preserve">2.utrzymanie zieleni </t>
  </si>
  <si>
    <t>GOSPODARKA  MIESZKANIOWA...</t>
  </si>
  <si>
    <t>OCHRONA  ZDROWIA</t>
  </si>
  <si>
    <t>KULTURA  FIZYCZNA  I  SPORT</t>
  </si>
  <si>
    <t xml:space="preserve">  Związek Miast i Gmin Morskich</t>
  </si>
  <si>
    <t>1.zadania  zlecone - sprawy obywatelskie</t>
  </si>
  <si>
    <t>Wydatki inwestycyjne i majątkowe - ogółem</t>
  </si>
  <si>
    <t xml:space="preserve">O G Ó Ł E M       W Y D A T K I </t>
  </si>
  <si>
    <t>ROLNICTWO  I  ŁOWIECTWO</t>
  </si>
  <si>
    <t>Dział 630</t>
  </si>
  <si>
    <t>TURYSTYKA</t>
  </si>
  <si>
    <t>Dział 700</t>
  </si>
  <si>
    <t>GOSPODARKA  MIESZKANIOWA</t>
  </si>
  <si>
    <t xml:space="preserve">   Państwa  lub jedn.samorządu teryt.oraz innych</t>
  </si>
  <si>
    <t xml:space="preserve">   umów o podobnym charakterze</t>
  </si>
  <si>
    <t>Dział 750</t>
  </si>
  <si>
    <t>ADMINISTRACJA  PUBLICZNA</t>
  </si>
  <si>
    <t>Dział 751</t>
  </si>
  <si>
    <t>URZĘDY NACZELNYCH ORGANÓW WŁADZY PAŃSTWOWEJ...</t>
  </si>
  <si>
    <t>Dział 754</t>
  </si>
  <si>
    <t>BEZPIECZEŃSTWO PUBLICZNE I OCHRONA PRZECIWPOŻAROWA</t>
  </si>
  <si>
    <t>Dział 756</t>
  </si>
  <si>
    <t>1.podatek od działalności gospodarczej osób fizycznych</t>
  </si>
  <si>
    <t xml:space="preserve">   opłacany w formie karty podatkowej</t>
  </si>
  <si>
    <t>Dział 758</t>
  </si>
  <si>
    <t xml:space="preserve">   a/część oświatową</t>
  </si>
  <si>
    <t>Dział 801</t>
  </si>
  <si>
    <t>Dział 854</t>
  </si>
  <si>
    <t>EDUKACYJNA OPIEKA WYCHOWAWCZA</t>
  </si>
  <si>
    <t>Dział 900</t>
  </si>
  <si>
    <t>Dział 600</t>
  </si>
  <si>
    <t>TRANSPORT I ŁĄCZNOŚĆ</t>
  </si>
  <si>
    <t>Wydatki bieżące ogółem</t>
  </si>
  <si>
    <t xml:space="preserve">TURYSTYKA  </t>
  </si>
  <si>
    <t>Dział 710</t>
  </si>
  <si>
    <t>DZIAŁALNOŚĆ  USŁUGOWA</t>
  </si>
  <si>
    <t>1.plan zagospodarowania przestrzennego</t>
  </si>
  <si>
    <t xml:space="preserve">   (podziały gruntu,wykazy zmian gruntowych, aktualizacja</t>
  </si>
  <si>
    <t xml:space="preserve">    mapy  i inne)</t>
  </si>
  <si>
    <t>ADMINISTRACJA   PUBLICZNA</t>
  </si>
  <si>
    <t>URZĘDY NACZELNYCH ORGANÓW WŁADZY PAŃSTWOWEJ....</t>
  </si>
  <si>
    <t>BEZPIECZEŃSTWO  PUBLICZNE  I OCHRONA PRZECIWPOŻAROWA</t>
  </si>
  <si>
    <t>Dział 757</t>
  </si>
  <si>
    <t>OBSŁUGA DŁUGU PUBLICZNEGO</t>
  </si>
  <si>
    <t>RÓŻNE ROZLICZENIA</t>
  </si>
  <si>
    <t>Dział 851</t>
  </si>
  <si>
    <t>1.utrzymanie świetlic szkolnych ( szkoła nr 1 i gimnazjum)</t>
  </si>
  <si>
    <t>GOSPODARKA  KOMUNALNA I OCHRONA ŚRODOWISKA</t>
  </si>
  <si>
    <t>KULTURA  I OCHRONA DZIEDZICTWA NARODOWEGO</t>
  </si>
  <si>
    <t>1.dotacja dla Międzynarodowego Domu Kultury</t>
  </si>
  <si>
    <t xml:space="preserve">2.dotacja dla  biblioteki </t>
  </si>
  <si>
    <t>Dział 926</t>
  </si>
  <si>
    <t>Dział 921</t>
  </si>
  <si>
    <t xml:space="preserve">P r z y c h o d y   ogółem wynoszą </t>
  </si>
  <si>
    <t>W y d a t k i   ogółem wynoszą</t>
  </si>
  <si>
    <t>w tym m.in.:</t>
  </si>
  <si>
    <t>Zakład Wodociągów i Kanalizacji w Międzyzdrojach</t>
  </si>
  <si>
    <t>1 /wpływy z tyt.dostawy wody pitnej</t>
  </si>
  <si>
    <t>2/ wpływy z tyt.oczyszczania i odprowadzania ścieków</t>
  </si>
  <si>
    <t>2/ wydatki na zakup materiałów, a w szczególności</t>
  </si>
  <si>
    <t xml:space="preserve">   części zamiennych,materiałów konserwacyjnych </t>
  </si>
  <si>
    <t xml:space="preserve">   paliwa do samochodów,odzieży roboczej i ochronnej,</t>
  </si>
  <si>
    <t xml:space="preserve">   środków czystości,materiałów biurowych itp..</t>
  </si>
  <si>
    <t>6/ podatki i opłaty na rzecz budżetu :</t>
  </si>
  <si>
    <t xml:space="preserve">    -podatek od nieruchomości</t>
  </si>
  <si>
    <t xml:space="preserve">    -podatek VAT</t>
  </si>
  <si>
    <t xml:space="preserve">    -opłaty za szczególne korzystanie</t>
  </si>
  <si>
    <t xml:space="preserve">     z wód  i środowiska</t>
  </si>
  <si>
    <t>Nie przewiduje się wpływów do budżetu z tytułu nadwyżki  środków obrotowych.</t>
  </si>
  <si>
    <t>Zakład Ochrony Środowiska w Międzyzdrojach</t>
  </si>
  <si>
    <t>2/ zakup materiałów,paliwa,części zamiennych,</t>
  </si>
  <si>
    <t xml:space="preserve">    pojemników itp..</t>
  </si>
  <si>
    <t>3/ zakup energii</t>
  </si>
  <si>
    <t xml:space="preserve">   wysypiska,ścieki itp..</t>
  </si>
  <si>
    <t>Gminny Fundusz Ochrony Środowiska i Gospodarki Wodnej</t>
  </si>
  <si>
    <t xml:space="preserve">P r z y c h o d y   stanowi ustawowy odpis na rzecz GFOŚ </t>
  </si>
  <si>
    <t>Dział O10</t>
  </si>
  <si>
    <t>aktualizacja rejestru wyborców</t>
  </si>
  <si>
    <t xml:space="preserve">   zadań z zakresu spraw obywatelskich/ewid.ludn. i USC/ </t>
  </si>
  <si>
    <t>2.odsetki od nieterminowych wpłat podatku opłacanego</t>
  </si>
  <si>
    <t xml:space="preserve">   w formie karty podatkowej</t>
  </si>
  <si>
    <t xml:space="preserve">     szkoła podstawowa nr 1</t>
  </si>
  <si>
    <t xml:space="preserve">   z pomocy społecznej</t>
  </si>
  <si>
    <t>utrzymanie kąpieliska strzeżonego</t>
  </si>
  <si>
    <t xml:space="preserve">  Stowarzyszenie Gmin Polskich Euroregionu  POMERANIA</t>
  </si>
  <si>
    <t xml:space="preserve">   mianowanego</t>
  </si>
  <si>
    <t xml:space="preserve">   ( wyceny nieruchomości,ogłoszenia o prztargach i inne)</t>
  </si>
  <si>
    <t>4/ zakup usług remontowych (naprawa i konserwacja</t>
  </si>
  <si>
    <t xml:space="preserve">    maszyn,urządzeń,sprzętu,odzieży,wyposażenia,środków</t>
  </si>
  <si>
    <t xml:space="preserve">    transportowych oraz usługi polegające na remoncie</t>
  </si>
  <si>
    <t xml:space="preserve">    i konserwacji pomieszczeń i budynków oraz inne)</t>
  </si>
  <si>
    <t>5/ zakup usług pozostałych ( usługi transportowe,</t>
  </si>
  <si>
    <t xml:space="preserve">    legalizacja butli p-poż, usługi drukarskie,kominiarskie,</t>
  </si>
  <si>
    <t xml:space="preserve">    prawnicze,komputerowe,pocztowe,telefoniczne,badania</t>
  </si>
  <si>
    <t xml:space="preserve">    wody i ścieków , wywóz śmieci i inne)</t>
  </si>
  <si>
    <t xml:space="preserve">1/sprzedaż usług: oczyszczanie miasta, wywóz </t>
  </si>
  <si>
    <t xml:space="preserve">   nieczystości, utrzymanie zieleni miejskiej, cmentarzy,</t>
  </si>
  <si>
    <t xml:space="preserve">   wysypiska , itp..</t>
  </si>
  <si>
    <t>6. dotacje celowe na realizację zadań z zakresu administracji rządowej zaplanowano  wg pisma Wojewody</t>
  </si>
  <si>
    <t>1.wpływy z rocznej opłaty za  użytkowanie i użytk.wieczyste</t>
  </si>
  <si>
    <t xml:space="preserve">     i różne dochody</t>
  </si>
  <si>
    <t xml:space="preserve">    ubezpieczenia społeczne </t>
  </si>
  <si>
    <t>wpłata na rzecz Izby Rolniczej</t>
  </si>
  <si>
    <t xml:space="preserve">2.opracowania geodezyjne i kartograficzne </t>
  </si>
  <si>
    <t>2.utrzymanie Rady Miejskiej</t>
  </si>
  <si>
    <t xml:space="preserve">3.utrzymanie  Urzędu Miasta </t>
  </si>
  <si>
    <t>4.komisje poborowe</t>
  </si>
  <si>
    <t>GOSPODARKA KOMUNALNA I OCHRONA ŚRODOWISKA</t>
  </si>
  <si>
    <t>3/ zakup energii elektrycznej i gazu</t>
  </si>
  <si>
    <t>wraz z odsetkami</t>
  </si>
  <si>
    <t xml:space="preserve">A. Budżet po stronie dochodów  wynosi  </t>
  </si>
  <si>
    <t xml:space="preserve">B. Budżet po stronie  wydatków  wynosi </t>
  </si>
  <si>
    <t xml:space="preserve">    z tego:</t>
  </si>
  <si>
    <t xml:space="preserve">    D1.1. Kredyty bankowe</t>
  </si>
  <si>
    <t xml:space="preserve">    D2.1. Spłaty kredytów</t>
  </si>
  <si>
    <t xml:space="preserve">    D2.2. Spłaty pożyczek</t>
  </si>
  <si>
    <t>D. Finansowanie  (D1-D2)</t>
  </si>
  <si>
    <t>D1. Przychody ogółem wynoszą:</t>
  </si>
  <si>
    <t>D2. Rozchody ogółem wynoszą:</t>
  </si>
  <si>
    <t>2.dochody z najmu i dzierżawy skł.majątkowych Skarbu</t>
  </si>
  <si>
    <t>3.wpływy z tyt.przekształcenia prawa użytk. wieczyst.</t>
  </si>
  <si>
    <t>I  OD INNYCH JEDNOSTEK NIEPOSIADAJĄCYCH OSOBOWOŚCI</t>
  </si>
  <si>
    <t>3.podatek od nieruchomości</t>
  </si>
  <si>
    <t xml:space="preserve">4.podatek rolny </t>
  </si>
  <si>
    <t>5. podatek leśny</t>
  </si>
  <si>
    <t xml:space="preserve">6. podatek od środków transportowych </t>
  </si>
  <si>
    <t xml:space="preserve">    b/część wyrównawcza-kwota uzupełniająca</t>
  </si>
  <si>
    <t>Dział 852</t>
  </si>
  <si>
    <t>POMOC  SPOŁECZNA</t>
  </si>
  <si>
    <t>POMOC SPOŁECZNA</t>
  </si>
  <si>
    <t>K o s z t y   ogółem wynoszą</t>
  </si>
  <si>
    <t>K o s z t y    ogółem wynoszą</t>
  </si>
  <si>
    <t>PRAWNEJ ORAZ WYDATKI ZWIĄZANE Z ICH POBOREM</t>
  </si>
  <si>
    <t xml:space="preserve">   z tytułu:</t>
  </si>
  <si>
    <t xml:space="preserve">     1.opłaty za przedszkole </t>
  </si>
  <si>
    <t xml:space="preserve">     2.odpłatności za posiłki w przedszkolu</t>
  </si>
  <si>
    <t xml:space="preserve">     3.różnych dochodów</t>
  </si>
  <si>
    <t>3. wpływy z dzierżaw  - stawki pozostawiono bez zmian,</t>
  </si>
  <si>
    <t>4.wpłaty z tyt.odpłatnego nabycia prawa własności</t>
  </si>
  <si>
    <t xml:space="preserve">   oraz prawa użytkowania wieczystego nieruchomości</t>
  </si>
  <si>
    <t>dotacja na prowadzenie i aktualizację rejestu wyborców</t>
  </si>
  <si>
    <t>wpływy z tytułu mandatów od ludności</t>
  </si>
  <si>
    <t>(osoby prawne)</t>
  </si>
  <si>
    <t>( osoby fizyczne)</t>
  </si>
  <si>
    <t xml:space="preserve">7. podatek od czynności cywilnoprawnych </t>
  </si>
  <si>
    <t>9. odsetki od nieterminowych wpłat z tyt.podat. i opłat</t>
  </si>
  <si>
    <t>10.podatek od nieruchomości</t>
  </si>
  <si>
    <t xml:space="preserve">11.podatek rolny </t>
  </si>
  <si>
    <t xml:space="preserve">w wysokości </t>
  </si>
  <si>
    <t>1.dotacja z przeznaczeniem na świadczenia rodzinne oraz</t>
  </si>
  <si>
    <t xml:space="preserve">   społecznego</t>
  </si>
  <si>
    <t xml:space="preserve">   składki na ubezpieczenia emerytalne i rentowe z ubezpieczenia</t>
  </si>
  <si>
    <t>2.dotacja z przeznaczeniem na składki na ubezpieczenie</t>
  </si>
  <si>
    <t xml:space="preserve">   zdrowotne opłacane za osoby pobierające niektóre  świadczenia</t>
  </si>
  <si>
    <t xml:space="preserve">3. dotacja na zasiłki i pomoc w naturze oraz składki na </t>
  </si>
  <si>
    <t>4.dotacja z przeznaczeniem na zasiłki okresowe</t>
  </si>
  <si>
    <t>5.dotacja na utrzymanie  Ośrodka Pomocy Społecznej</t>
  </si>
  <si>
    <t>6.wpływy z usług opiekuńczych</t>
  </si>
  <si>
    <t xml:space="preserve">    nauczycieli rencistów i emerytów</t>
  </si>
  <si>
    <t>2.składki na ubezpieczenia zdrowotne</t>
  </si>
  <si>
    <t>3.świadczenia społeczne i składki na ubezp.społ.-zadania zlecone</t>
  </si>
  <si>
    <t xml:space="preserve">4.świadczenia społeczne- zadania  własne </t>
  </si>
  <si>
    <t>6.dodatki mieszkaniowe</t>
  </si>
  <si>
    <t>7.utrzymanie Ośrodka Pomocy Społecznej</t>
  </si>
  <si>
    <t>Stan funduszu na początek roku</t>
  </si>
  <si>
    <t>Stan funduszu na koniec roku</t>
  </si>
  <si>
    <t>Stan środków obrotowych na początek roku</t>
  </si>
  <si>
    <t>Stan środków obrotowych na koniec roku</t>
  </si>
  <si>
    <t>Stan środków obrotowych na początek  roku</t>
  </si>
  <si>
    <t>Stan środków obrotowych na koniec  roku</t>
  </si>
  <si>
    <t>1. utrzymanie dróg publicznych gminnych</t>
  </si>
  <si>
    <t>2. dopłaty do biletów z tytułu kosztów stosowania ulg</t>
  </si>
  <si>
    <t xml:space="preserve">    Problemów Alkoholowych</t>
  </si>
  <si>
    <t>TRANSPORT  I ŁĄCZNOŚĆ</t>
  </si>
  <si>
    <t xml:space="preserve">    D1.3. Wolne środki </t>
  </si>
  <si>
    <t xml:space="preserve">   przysług.osobom fizycznym w prawo własności</t>
  </si>
  <si>
    <t>2. 5% udział gminy z tyt.poboru opłat za wydanie dowodu osobistego</t>
  </si>
  <si>
    <t xml:space="preserve">12. podatek od środków transportowych </t>
  </si>
  <si>
    <t>13. podatek od spadków i darowizn</t>
  </si>
  <si>
    <t>15. wpływy z opłaty targowej</t>
  </si>
  <si>
    <t xml:space="preserve">16. podatek od czynności cywilnoprawnych </t>
  </si>
  <si>
    <t>17.wpływy z różnych opłat (prolongacyjna,zwrot za upomnienia-os.fizyczne)</t>
  </si>
  <si>
    <t>18. odsetki od nieterminowych wpłat z tyt.podat. i opłat</t>
  </si>
  <si>
    <t>19.wpływy z opłaty skarbowej</t>
  </si>
  <si>
    <t>20.wpływy z opłat za zezwolenia na sprzedaż alkoholu</t>
  </si>
  <si>
    <t xml:space="preserve">    c/część równoważąca dodatki mieszkaniowe</t>
  </si>
  <si>
    <t xml:space="preserve">     4.dzierżawy</t>
  </si>
  <si>
    <t>Dochody stanowią wpływy z  najmu budynku gimnazjum</t>
  </si>
  <si>
    <t>w okresie wakacji</t>
  </si>
  <si>
    <t xml:space="preserve">  Związek Miast Polskich</t>
  </si>
  <si>
    <t>3.utrzymanie oddziału przedszkolnego w szkole nr 2</t>
  </si>
  <si>
    <t>5.świadczenia społeczne-zadania własne (zasiłki okresowe)</t>
  </si>
  <si>
    <t>9.świadczenia społeczne-posiłek dla potrzebujących</t>
  </si>
  <si>
    <t>2.koszty związane z wynajmem gimnazjum w okresie wakacji</t>
  </si>
  <si>
    <t>3.pomoc materialna dla uczniów (stypendia socjalne)</t>
  </si>
  <si>
    <t>3.oświetlenie ulic (energia)</t>
  </si>
  <si>
    <t xml:space="preserve">4.konserwacja oświetlenia </t>
  </si>
  <si>
    <t>GOSPODARKA MIESZKANIOWA</t>
  </si>
  <si>
    <t>Opis  planów finansowych zakładów budżetowych i funduszu celowego.</t>
  </si>
  <si>
    <t>1/ wynagrodzenia i składki ZUS  32 pracowników</t>
  </si>
  <si>
    <t>1/ wynagrodzenia i składki ZUS pracowników</t>
  </si>
  <si>
    <t xml:space="preserve">    D1.2. Spłaty pożyczek udzielonych</t>
  </si>
  <si>
    <t xml:space="preserve">    D2.3. Udzielenie pożyczki (ZOŚ)</t>
  </si>
  <si>
    <t>4. wpływy ze sprzedaży ciepła dla BGŻ</t>
  </si>
  <si>
    <t>5. odsetki od środków na rachunkach bankowych</t>
  </si>
  <si>
    <t>22.udziały gminy w podatku dochodowym od osób fizycznych</t>
  </si>
  <si>
    <t>23.udziały gminy w podatku dochodowym od osób prawnych</t>
  </si>
  <si>
    <t xml:space="preserve">  Związek Gmin Wyspy Wolin</t>
  </si>
  <si>
    <t>1. zwalczanie narkomanii</t>
  </si>
  <si>
    <t>2. realizacja programu Gminnej Komisji Rozwiązywania</t>
  </si>
  <si>
    <t xml:space="preserve">   na ubezpieczenia emeryt.i rent.z ubezp.społecznego</t>
  </si>
  <si>
    <t xml:space="preserve">1.świadczenia rodzinne, zaliczka alimentacyjna oraz składki </t>
  </si>
  <si>
    <t xml:space="preserve">  a także koszty obsługi świadczeń rodzinnych</t>
  </si>
  <si>
    <t>2/wpływy z tyt.usług-stadion</t>
  </si>
  <si>
    <t xml:space="preserve">     b/ wydatki inwestycyjne</t>
  </si>
  <si>
    <t xml:space="preserve">     a/ wydatki bieżące </t>
  </si>
  <si>
    <t xml:space="preserve"> a/ sprzedaży nieruchomości</t>
  </si>
  <si>
    <t xml:space="preserve"> b/ lokali mieszkalnych </t>
  </si>
  <si>
    <t xml:space="preserve"> c/ zwrot bonifikaty</t>
  </si>
  <si>
    <t xml:space="preserve">   a/zwrotu nakładów poczynionych na nieruchomości</t>
  </si>
  <si>
    <t xml:space="preserve">     położonej przy ul.Dąbrówki 13</t>
  </si>
  <si>
    <t xml:space="preserve">   a/opłata za użytkowanie dna morskiego</t>
  </si>
  <si>
    <t xml:space="preserve">    będących w zarządzie MTBS</t>
  </si>
  <si>
    <t xml:space="preserve">    b/utrzymanie budynków i lokali ( mieszkalnych i użytkowych)</t>
  </si>
  <si>
    <t xml:space="preserve">   c/remonty mieszkan komunalnych</t>
  </si>
  <si>
    <t>1.prowizja bankowa - kredyt w rachunku bieżącym</t>
  </si>
  <si>
    <t>1.urządzenie cmentarza w Międzyzdrojach</t>
  </si>
  <si>
    <t xml:space="preserve">Dział 921 </t>
  </si>
  <si>
    <t>KULTURA I OCHRONA DZIEDZICTWA NARODOWEGO</t>
  </si>
  <si>
    <t>1.roczna kwota wpłaty Gminy do budżetu państwa</t>
  </si>
  <si>
    <t>2.rezerwa ogólna</t>
  </si>
  <si>
    <t xml:space="preserve">    budowa i eksploatacja GPZON</t>
  </si>
  <si>
    <t>10/ obsługa rachunku bankowego</t>
  </si>
  <si>
    <t>3/ wpływy z tyt.pozostałej sprzedaży (wykonanie przyłączy</t>
  </si>
  <si>
    <t xml:space="preserve">    sieci wod.-kan.,konserwowanie pomp,remont studzienek</t>
  </si>
  <si>
    <t xml:space="preserve">    wodomierzowych,sprzedaż wodomierzy i ich wymiana,</t>
  </si>
  <si>
    <t xml:space="preserve">    czyszczenie sieci kanalizacyjnej i sanitarnej WUK-iem, </t>
  </si>
  <si>
    <t>2 załączniki</t>
  </si>
  <si>
    <t xml:space="preserve">3/dotacja przedmiotowa z budżetu z przeznaczeniem na </t>
  </si>
  <si>
    <t>1. dotacja na zad.zlecone z przeznaczeniem na finansowanie</t>
  </si>
  <si>
    <t xml:space="preserve">   w przewozie pasażerów zgodnie z art..18a</t>
  </si>
  <si>
    <t xml:space="preserve">   ustawy o transporcie drogowym</t>
  </si>
  <si>
    <t xml:space="preserve">   w Międzyzdrojach</t>
  </si>
  <si>
    <t>10.świadczenia za prace społecznie-użyteczne</t>
  </si>
  <si>
    <t xml:space="preserve">   dla bezdomnych psów w schronisku</t>
  </si>
  <si>
    <t>11.dotacja przedmiotowa dla ZOŚ -dofinansowanie utrzymania stadionu</t>
  </si>
  <si>
    <t>OBJAŚNIENIA DO  BUDŻETU  GMINY   NA   ROK   2008</t>
  </si>
  <si>
    <t>Dział 010</t>
  </si>
  <si>
    <t>ROLNICTWO I ŁOWIECTWO</t>
  </si>
  <si>
    <t>1.budowa sieci wod.-kan.wraz z przepompownią</t>
  </si>
  <si>
    <t xml:space="preserve">  w ul.Wąskiej-Wicko</t>
  </si>
  <si>
    <t>2.opracowanie projektu budowlanego na budowę przpompowni</t>
  </si>
  <si>
    <t xml:space="preserve">   w ul.Wodnej </t>
  </si>
  <si>
    <t xml:space="preserve">   wraz z przyłączami do kanalizacji tłocznej i grawitacyjnej</t>
  </si>
  <si>
    <t xml:space="preserve">1.dotacja celowa przekazana dla powiatu z przeznaczeniem </t>
  </si>
  <si>
    <t xml:space="preserve">  na dofinansowanie remontu budynku Komendy Powiatowej Policji</t>
  </si>
  <si>
    <t xml:space="preserve">  przy szkole podstawowej nr 2 w Wapnicy</t>
  </si>
  <si>
    <t xml:space="preserve">  wielofunkcyjnego z nawierzchnią z trawy syntetycznej</t>
  </si>
  <si>
    <t xml:space="preserve">  z wyposażeniem sportowym i ogrodzeniem przy szkole </t>
  </si>
  <si>
    <t xml:space="preserve">   inwestycji pn."Uzbrojenie terenów inwestycyjnych w Międzyzdrojach"</t>
  </si>
  <si>
    <t xml:space="preserve">   z Europejskiego Funduszu Rozwoju Regionalnego w ramach</t>
  </si>
  <si>
    <t xml:space="preserve">   Regionalnego Programu Operacyjnego woj.zachodniopomorskiego</t>
  </si>
  <si>
    <t xml:space="preserve">   na lata 2007-2013</t>
  </si>
  <si>
    <t xml:space="preserve">   "Przełożenie pokrycia dachowego kościoła w Lubinie"</t>
  </si>
  <si>
    <t>1.przebudowa drogi- ul.Bohaterów Warszawy i ul.Promenada</t>
  </si>
  <si>
    <t xml:space="preserve">   Gwiazd w Międzyzdrojach (udział własny gminy w finansowaniu</t>
  </si>
  <si>
    <t>2.przebudowa drogi-ul.Ludowej i ul.1000-lecia PP</t>
  </si>
  <si>
    <t>3.remont ul.Rybackiej i Mickiewicza w Międzyzdrojach</t>
  </si>
  <si>
    <t>4.budowa stałego zjazdu na plażę przy ul.Cichej w Międzyzdrojach</t>
  </si>
  <si>
    <t>z przyłączami (udział własny gminy w finansowaniu zadania</t>
  </si>
  <si>
    <t>w wysokości ok..35%)</t>
  </si>
  <si>
    <t xml:space="preserve">5.remont drogi w ul.Zdrojowej i Morskiej w Międzyzdrojach wraz </t>
  </si>
  <si>
    <t>z budową sieci kanalizacji deszczowej i sieci kablowej oświetlenia</t>
  </si>
  <si>
    <t>drogowego (udział własny gminy w finansowaniu zadania</t>
  </si>
  <si>
    <t>6.budowa i przebudowa ul.Nowomyśliwskiej pomiędzy ul.Myśliwską</t>
  </si>
  <si>
    <t>a ul.Gryfa Pomorskiego w Międzyzdrojach</t>
  </si>
  <si>
    <t>7.budowa zespołu zielonych parkingów ogólnodostępnych przy</t>
  </si>
  <si>
    <t>ul.Komunalnej w Międzyzdrojach</t>
  </si>
  <si>
    <t>8.budowa drogi-ul.Komunalnej pomiędzy ul.Niepodległości</t>
  </si>
  <si>
    <t>a ul.Nowomyśliwską w Międzyzdrojach</t>
  </si>
  <si>
    <t xml:space="preserve">  podstawowej nr 2 w Wapnicy-35 000 zł oraz budowa </t>
  </si>
  <si>
    <t xml:space="preserve">  boiska wielofunkcyjnego -400 000 zł</t>
  </si>
  <si>
    <t>1.rozbudowa hali sportowej sportowej przy szkole podstawowej</t>
  </si>
  <si>
    <t xml:space="preserve">   sportowej przy gimnazjum w Międzyzdrojach-75000 zł</t>
  </si>
  <si>
    <t xml:space="preserve">   oraz budowa hali sportowej (udział własny gminy w finansowaniu</t>
  </si>
  <si>
    <t>1.budowa infrastruktury i wspólnej marki turystycznej -budowa przystani</t>
  </si>
  <si>
    <t>żeglarskiej w Wicku (udział własny gminy w finansowaniu zadania</t>
  </si>
  <si>
    <t>11.przebudowa ul.Orlej</t>
  </si>
  <si>
    <t>12.budowa stałego zjazdu na plażę przy hotelu Amber Baltic</t>
  </si>
  <si>
    <t>13.ścieżki rowerowe na terenie gminy wraz z wykonaniem</t>
  </si>
  <si>
    <t xml:space="preserve">    oznakowania-projekt</t>
  </si>
  <si>
    <t>1.budowa budynku przy ul.Słowiańskiej w Międzyzdrojach-projekt</t>
  </si>
  <si>
    <t xml:space="preserve">1.przebudowa budynku biurowo-usługowego położonego przy </t>
  </si>
  <si>
    <t xml:space="preserve">   ul.Zwycięstwa 50 w Międzyzdrojach z przeznaczeniem dla </t>
  </si>
  <si>
    <t xml:space="preserve">   Stowarzyszenia Osób Niepełnosprawnych Radość</t>
  </si>
  <si>
    <t>2.opracowanie dokumentacji na zadanie "Wrota Międzyzdrojów"-</t>
  </si>
  <si>
    <t>zabezpieczenie bezpieczeństwa turystów oraz wdrożenie</t>
  </si>
  <si>
    <t>społeczeństwa informacyjnego w gminie Międzyzdroje</t>
  </si>
  <si>
    <t>w m.Wapnica wraz z realizacją</t>
  </si>
  <si>
    <t xml:space="preserve">  zabaw przy hotelu Amber Baltic wraz z realizacją</t>
  </si>
  <si>
    <t>Balbinka</t>
  </si>
  <si>
    <t xml:space="preserve">   rondo ul.Zwycięstwa Międzyzdroje</t>
  </si>
  <si>
    <t>9.przygotowanie wniosku aplikacyjnego o dofinansowanie</t>
  </si>
  <si>
    <t>10.dokumentacja na przebudowę ul.Kolejowej</t>
  </si>
  <si>
    <t>2.remont budynku urzędu (ocieplenie i elewacja,remont schodów</t>
  </si>
  <si>
    <t>oraz montaż drzwi wejściowych)</t>
  </si>
  <si>
    <t>bazodanowy oraz oprogramowanie serwera i zakup programu</t>
  </si>
  <si>
    <t>do ewidencji dróg)</t>
  </si>
  <si>
    <t>3.rozbudowa remizy OSP (projekt,utwardzenie terenu przy</t>
  </si>
  <si>
    <t>remizie, wykonanie ogrodzenia )</t>
  </si>
  <si>
    <t>4.zakup sprzętu hydraulicznego-OSP</t>
  </si>
  <si>
    <t>5.zakup sprzętu łączności(radiostacji,telefonów komórkowych itp.)</t>
  </si>
  <si>
    <t xml:space="preserve">  gimnazjum</t>
  </si>
  <si>
    <t xml:space="preserve">  bieżni trzytorowej i skoczni do skoku w dal,budowa oświetlenia</t>
  </si>
  <si>
    <t xml:space="preserve">  i wykonanie monitoringu)</t>
  </si>
  <si>
    <t xml:space="preserve">   językowej-gimnazjum</t>
  </si>
  <si>
    <t xml:space="preserve">   wszystkich płyt chodnikowych na terenie przedszkola</t>
  </si>
  <si>
    <t>1.rekultywacja składowiska odpadów komunalnych</t>
  </si>
  <si>
    <t xml:space="preserve">2.opracowanie projektu budowlanego na rozbudowę placu </t>
  </si>
  <si>
    <t>3.nabycie nieruchomości na siedzibę ZOŚ</t>
  </si>
  <si>
    <t>4.dotacja celowa dla Zakładu Ochrony Środowiska z przeznaczeniem</t>
  </si>
  <si>
    <t>na zakup samochodu hakowokontenerowego współpracującego</t>
  </si>
  <si>
    <t>z przyczepą do wywozu odpadów komunalnych z punktu</t>
  </si>
  <si>
    <t>przeładunkowego w Wolinie do miejsca składowania-Słajsino</t>
  </si>
  <si>
    <t>5.rezerwa celowa na pokrycie wydatków polegających na wniesieniu</t>
  </si>
  <si>
    <t>założenia trzech gminnych spółek z o.o.</t>
  </si>
  <si>
    <t>wkładów na poczet kapitału zakładowego planowanych do</t>
  </si>
  <si>
    <t>w Międzyzdrojach oraz remont organów</t>
  </si>
  <si>
    <t xml:space="preserve">6.dotacja celowa dla Związku Gmin Wyspy Wolin z przeznaczeniem </t>
  </si>
  <si>
    <t xml:space="preserve">na realizację zadania inwestycyjnego pn."Uporządkowanie </t>
  </si>
  <si>
    <t>gospodarki wodno-ściekowej na obszarze Związku Gmin Wyspy</t>
  </si>
  <si>
    <t>Wolin (udział gminy Międzyzdroje w realizacji zadania)</t>
  </si>
  <si>
    <t xml:space="preserve">7.dotacja celowa dla Celowego Związku Gmin R XXI z przeznaczeniem </t>
  </si>
  <si>
    <t xml:space="preserve">na realizację zadania inwestycyjnego pn."Regionalny Zakład </t>
  </si>
  <si>
    <t>Gospodarowania Odpadami CZG R-XXI"</t>
  </si>
  <si>
    <t>z przeznaczeniem na inwestycje i zakupy inwestycyjne</t>
  </si>
  <si>
    <t>(zestaw komputerowy szt.2,rejestrator cyfrowy szt.1,kamera</t>
  </si>
  <si>
    <t>internetowa szt.1,ekran zwijany szt.2,projektor zwijany szt.2,</t>
  </si>
  <si>
    <t>podesty sceniczne,prakykable dla chórów,nagłośnienie</t>
  </si>
  <si>
    <t>sceniczne,oświetlenie sceny i sali teatralnej,kamery wewnętrzne</t>
  </si>
  <si>
    <t xml:space="preserve">szt.5 i kamery zewnętrzne szt.5 oraz barierki ochronne do </t>
  </si>
  <si>
    <t>zabezpieczenia imprez)</t>
  </si>
  <si>
    <t xml:space="preserve">1.budowa amfiteatru wraz z zapleczem na nieruchomości </t>
  </si>
  <si>
    <t>położonej przy ul.Boh.Warszawy w Międzyzdrojach</t>
  </si>
  <si>
    <t>3.opracowanie koncepcji zagospodarowania budynku Wikliny</t>
  </si>
  <si>
    <t>2.amfiteatr-zabudowa towarzysząca na nieruchomości</t>
  </si>
  <si>
    <t xml:space="preserve">4.budowa biblioteki </t>
  </si>
  <si>
    <t>6.dotacja celowa na finansowanie kosztów realizacji inwestycji pn.</t>
  </si>
  <si>
    <t>7.rezerwa celowa z przeznaczeniem na remont dachu kościoła</t>
  </si>
  <si>
    <t>KULTURA FIZYCZNA I SPORT</t>
  </si>
  <si>
    <t>1.zakup zeskoku do skoku o tyczce-stadion miejski</t>
  </si>
  <si>
    <t xml:space="preserve">8.dotacja celowa dla Międzynarodowego Domu Kultury   </t>
  </si>
  <si>
    <t>2.remont boiska przy szkole podstawowej nr 1 w Międzyzdrojach</t>
  </si>
  <si>
    <t>3.remont stołówki w szkole nr 1</t>
  </si>
  <si>
    <t xml:space="preserve">4.opracowanie projektu budowlanego na budowę hali sportowej </t>
  </si>
  <si>
    <t>5.opracowanie projektu budowlanego na budowę boiska</t>
  </si>
  <si>
    <t>6.opracowanie projektu budowlanego na budowę hali</t>
  </si>
  <si>
    <t>7.elewacja z dociepleniem budynku głównego gimnazjum</t>
  </si>
  <si>
    <t>8.przebudowa klatki schodowej w budynku sali gimnastycznej-</t>
  </si>
  <si>
    <t>9.urządzenie boiska górnego w gimnazjum(wykonanie</t>
  </si>
  <si>
    <t>10.zakup zlewozmywaka-gimnazjum stołówka</t>
  </si>
  <si>
    <t xml:space="preserve">11.zakup rzutnika multimedialnego i urządzenie pracowni </t>
  </si>
  <si>
    <t>12.adaptacja sali po kotłowni w budynku przedszkola oraz wymiana</t>
  </si>
  <si>
    <t xml:space="preserve"> pn."Rozbudowa hali sportowej z zapleczem przy szkole</t>
  </si>
  <si>
    <t xml:space="preserve"> z przygotowaniem wniosku o dofianasowanie inwestycji</t>
  </si>
  <si>
    <t xml:space="preserve"> podstawowej nr 1 w Międzyzdrojach"oraz pełnienie funkcji</t>
  </si>
  <si>
    <t xml:space="preserve"> Inżyniera Kontraktu na kwotę 340 000 zł</t>
  </si>
  <si>
    <t xml:space="preserve"> opracowanie studium wykonalności projektu wraz </t>
  </si>
  <si>
    <t xml:space="preserve"> nr 1 w Międzyzdrojach,ul.Leśna 17 w tym:</t>
  </si>
  <si>
    <t>Do opracowania  budżetu na rok 2008  przyjęto następujące dane i założenia:</t>
  </si>
  <si>
    <t>1. przewidywane wykonanie budżetu za 2007 r.,</t>
  </si>
  <si>
    <t>2. wpływy z tytułu podatku od nieruchomości oraz z tytułu opłaty miejscowej- stawki zwiększono o ok.7%,</t>
  </si>
  <si>
    <t>4. wskaźnik inflacji  założono w wysokości 2,3 % ,</t>
  </si>
  <si>
    <t>5.przewiduje się wzrost wynagrodzeń osobowych  pracowników  w 2008 roku o 3,6 %,</t>
  </si>
  <si>
    <t xml:space="preserve">   Zachodniopomorskiego  Nr FB.1-JP-3010/23/2007 z dnia 22.10.2007r. , pisma Krajowego Biura Wyborczego</t>
  </si>
  <si>
    <t xml:space="preserve">   Nr DSZ-3101-49/07 z dnia 17 października 2007r.</t>
  </si>
  <si>
    <t>7. na podstawie pisma Ministra Finansów Nr ST3-4820-26/2007  z dnia 10.10.2007r. zaplanowano</t>
  </si>
  <si>
    <t xml:space="preserve">    subwencję ogólną (w tym: część oświatowa, wyrównawcza i równoważąca), udziały w podatku</t>
  </si>
  <si>
    <t xml:space="preserve">    dochodowym od osób fizycznych.</t>
  </si>
  <si>
    <t xml:space="preserve">    a/wolnych środków na rachunku Gminy w kwocie  500 000 zł </t>
  </si>
  <si>
    <t xml:space="preserve">     b/ nadwyżki budżetu w kwocie                                            427 026 zł</t>
  </si>
  <si>
    <t>8. ustala się spłatę rat kredytów w wysokości           927 026 zł z</t>
  </si>
  <si>
    <t xml:space="preserve">     c/ spłatę kredytu </t>
  </si>
  <si>
    <t xml:space="preserve">   nieruchomości i zarząd</t>
  </si>
  <si>
    <t>5.wpływy ze sprzedaży mienia komunalnego:</t>
  </si>
  <si>
    <t>6.odsetki od nieterminowej płatności zobowiązań i inne dochody</t>
  </si>
  <si>
    <t>7.zwrot nakładów i odsetek na przedsięwzięcie termomodernizacyjne</t>
  </si>
  <si>
    <t>drogowego</t>
  </si>
  <si>
    <t>8.wynajem lokali mieszkalnych i użytkowych</t>
  </si>
  <si>
    <t>3. wpływy z różnych dochodów,odsetek i z tyt.opłat za licencje</t>
  </si>
  <si>
    <t>8.wpływy z różnych opłat (prolongacyjna i upomnienia - osoby prawne)</t>
  </si>
  <si>
    <t>14. opłata od posiadania psów</t>
  </si>
  <si>
    <t>16.wpływy z opłaty miejscowej</t>
  </si>
  <si>
    <t>21.wpływy z innych lokalnych opłat (opłaty za wpis i za zmiany</t>
  </si>
  <si>
    <t xml:space="preserve">    wpisu do ewidencji działalności gospodarczej) </t>
  </si>
  <si>
    <t>Minister Finansów pismem nr ST3-4820-26/2007 z dnia 10.10.2007r.</t>
  </si>
  <si>
    <t>poinformował o planowanej subwencji ogólnej na rok 2008</t>
  </si>
  <si>
    <t>z przeznaczeniem na dofinansowanie pracodawcom</t>
  </si>
  <si>
    <t>kosztów przygotowania zawodowego młodocianych pracowników</t>
  </si>
  <si>
    <t>8.dotacja z przeznaczeniem na posiłek dla potrzebujących</t>
  </si>
  <si>
    <t xml:space="preserve">7.dotacja z przeznaczeniem na prowadzenie specjalistycznych </t>
  </si>
  <si>
    <t>usług opiekuńczych dla osób z zaburzeniami psychicznymi</t>
  </si>
  <si>
    <t xml:space="preserve">9.wpływy z różnych dochodów i odsetek </t>
  </si>
  <si>
    <t>z czego przypada na:</t>
  </si>
  <si>
    <t>dochody bieżące</t>
  </si>
  <si>
    <t>dochody majątkowe</t>
  </si>
  <si>
    <t>2/wpływy z usług(odpłatność za obiady)</t>
  </si>
  <si>
    <t>3/ odsetki od środków na rachunkach bankowych</t>
  </si>
  <si>
    <t>4/ wpływy - przedszkole</t>
  </si>
  <si>
    <t xml:space="preserve">5/ dotacja celowa na realizację zadań własnych  </t>
  </si>
  <si>
    <t xml:space="preserve">   b/ innych ewentualnych kar i odszkodowań </t>
  </si>
  <si>
    <t>1.gospodarka gruntami i nieruchomościami</t>
  </si>
  <si>
    <t>2.odszkodowania z tytułu:</t>
  </si>
  <si>
    <t>3.wydatki związane z utrzymaniem nieruchomości:</t>
  </si>
  <si>
    <t xml:space="preserve">  Celowy Związek Gmin R-XXI</t>
  </si>
  <si>
    <t>1.wpłata na rzecz funduszu celowego Policji z przeznaczeniem na</t>
  </si>
  <si>
    <t xml:space="preserve">  utrzymanie sił wsparcia (sezon 2008)</t>
  </si>
  <si>
    <t>2.odsetki od kredytów</t>
  </si>
  <si>
    <t>3.odsetki od kredytu w rachunku bieżącym</t>
  </si>
  <si>
    <t xml:space="preserve">3.rezerwa celowa-realizacja zadań własnych z zakresu </t>
  </si>
  <si>
    <t xml:space="preserve">  zarządzania kryzysowego</t>
  </si>
  <si>
    <t>2.utrzymanie Ochotniczej Straży Pożarnej</t>
  </si>
  <si>
    <t>3.obrona cywilna</t>
  </si>
  <si>
    <t>4.utrzymanie Straży Miejskiej</t>
  </si>
  <si>
    <t>5.zakup wody na cele przeciwpożarowe</t>
  </si>
  <si>
    <t xml:space="preserve">2.utrzymanie szkoły podstawowej nr 2 </t>
  </si>
  <si>
    <t>4.utrzymanie przedszkola</t>
  </si>
  <si>
    <t>6.dowożenie uczniów do szkół</t>
  </si>
  <si>
    <t>7.dokształcanie i doskonalenie nauczycieli</t>
  </si>
  <si>
    <t>8.stołówki szkolne</t>
  </si>
  <si>
    <t>ujmowane są w rozdziale 80148 pn."Stołówki szkolne".Dotychczas dochody</t>
  </si>
  <si>
    <t>i wydatki związane ze stołówkami szkolnymi były wykazywane w rozdziale</t>
  </si>
  <si>
    <t>80101 pn."Szkoły podstawowe" i w rozdziale 80110 pn."Gimnazja".</t>
  </si>
  <si>
    <t>W roku budżetowym 2008 dochody i wydatki dotyczące stołówek szkolnych</t>
  </si>
  <si>
    <t>W związku z czym w załaczniku nr 2 do objaśnień nie wypełniono kolumny 7.</t>
  </si>
  <si>
    <t>Uwaga:</t>
  </si>
  <si>
    <t>młodocianych pracowników</t>
  </si>
  <si>
    <t>6.opłaty za pobyt w domu pomocy społecznej</t>
  </si>
  <si>
    <t>na prowadzeniu specjalistycznych usług opiekuńczych-38 000 zł</t>
  </si>
  <si>
    <t xml:space="preserve">8.utrzymanie opiekunek, w tym na zadania zlecone polegające </t>
  </si>
  <si>
    <t>4.dokształcanie i doskonalenie nauczycieli</t>
  </si>
  <si>
    <t>5.odpisy na zakładowy fundusz świadczeń socjalnych dla</t>
  </si>
  <si>
    <t>5.iluminacja świąteczna i inne</t>
  </si>
  <si>
    <t>6.opieka nad bezdomnymi psami</t>
  </si>
  <si>
    <t>7.dotacja celowa dla Gminy Golczewo na utrzymanie 15 stanowisk</t>
  </si>
  <si>
    <t>8.monitoring składowiska odpadów</t>
  </si>
  <si>
    <t>9.utrzymanie przepompowni melioracyjnej(energia i konserwacja)</t>
  </si>
  <si>
    <t>10.czyszczenie sieci kanalizacji deszczowej</t>
  </si>
  <si>
    <t>12.zakup sieci kanalizacyjnej dł.63 m w Wapnicy od osoby fizycznej</t>
  </si>
  <si>
    <t>2.stypendia sportowe</t>
  </si>
  <si>
    <t xml:space="preserve">5.wydatki osobowe niezaliczone do wynagrodzeń (zastępcza </t>
  </si>
  <si>
    <t>6.wynagrodzenia z tyt.inkasa podatków i opłat lokalnych</t>
  </si>
  <si>
    <t>7.wynagrodzenia osobowe (roboty publiczne refundowane)</t>
  </si>
  <si>
    <t>8.wydatki związane z  eksploatacją kotłowni urzędu</t>
  </si>
  <si>
    <t>9.wpłaty gmin na rzecz związków celowych, w tym:</t>
  </si>
  <si>
    <t>10.wynajem biura-Powiatowy Urząd Pracy</t>
  </si>
  <si>
    <t>11.zakup energi-skrzynka energetyczna -promocja</t>
  </si>
  <si>
    <t xml:space="preserve">  służba wojskowa)</t>
  </si>
  <si>
    <t>1/ zakup pojemników do selektywnej zbiórki odpadów</t>
  </si>
  <si>
    <t>2/ zakup pomocy naukowych i dydaktycznych związanych</t>
  </si>
  <si>
    <t>z edukacją ekologiczną (materiały do zorganizowania</t>
  </si>
  <si>
    <t>konkursów ekologicznych w szkołach,nagrody itp.)</t>
  </si>
  <si>
    <t>3/ opinie dotyczące drzewostanu</t>
  </si>
  <si>
    <t>wielkogabarytów, akcja sprzątanie świata itp.</t>
  </si>
  <si>
    <t>4/ realizacja zadania o którym mowa w art.6 ust.6</t>
  </si>
  <si>
    <t>ustawy z dnia 13.09.1996 r. o utrzymaniu czystości</t>
  </si>
  <si>
    <t>i porządku w gminach</t>
  </si>
  <si>
    <t>5/ nieprzewidziane zdarzenia losowe i ogłoszenia</t>
  </si>
  <si>
    <t>6/ utrzymanie terenów zielonych</t>
  </si>
  <si>
    <t>7/ konserwacja rowów melioracyjnych</t>
  </si>
  <si>
    <t>8/ likwidacja dzikich wysypisk, porzucanych</t>
  </si>
  <si>
    <t>9/ realizacja gminnego planu gospodarki odpadami-</t>
  </si>
  <si>
    <t xml:space="preserve">   sprzedaż materiałów,dzierżawa i inne)</t>
  </si>
  <si>
    <t xml:space="preserve">   sfinansowanie kosztów związanych z utrzyamaniem</t>
  </si>
  <si>
    <t xml:space="preserve">   stadionu miejskiego</t>
  </si>
  <si>
    <t xml:space="preserve">4/dotacja celowa na zakup samochodu </t>
  </si>
  <si>
    <t>hakowokontenerowego współpracującego z przyczepą</t>
  </si>
  <si>
    <t xml:space="preserve">do wywozu odpadów komunalnych z punktu </t>
  </si>
  <si>
    <t>przeładunkowego w Wolinie do miejsca składowania-</t>
  </si>
  <si>
    <t>Słajsino</t>
  </si>
  <si>
    <t>4/ zakup usług: dezynsekcja,deratyzacja,rekultywacja</t>
  </si>
  <si>
    <t>5/ podatek od nieruchomości</t>
  </si>
  <si>
    <t>6/ podatek VAT</t>
  </si>
  <si>
    <t xml:space="preserve">7/ zakup samochodu hakowokontenerowego współpracującego </t>
  </si>
  <si>
    <t xml:space="preserve">z przyczepą do wywozu odpadów komunalnych z punktu </t>
  </si>
  <si>
    <t>5.przebudowa budynku położonego przy ul.Promenada Gwiazd-</t>
  </si>
  <si>
    <t>C. Wynik (A-B)  nadwyżka budżetu wynosi</t>
  </si>
  <si>
    <t xml:space="preserve">    W roku 2008 planuje się sprzedać nastepujące</t>
  </si>
  <si>
    <t xml:space="preserve">    nieruchomości:</t>
  </si>
  <si>
    <t xml:space="preserve">    1/nieruchomość zabudowana budynkiem wczasowym ul.Tysiąclecia PP</t>
  </si>
  <si>
    <t xml:space="preserve">      nr 13 w Międzyzdrojach,działka nr 323/3,</t>
  </si>
  <si>
    <t xml:space="preserve">    2/nieruchomość zabudowana budynkiem wczasowym ul.Tadeusza</t>
  </si>
  <si>
    <t xml:space="preserve">      Kościuszki nr 8 w Międzyzdrojach,działka nr 326,</t>
  </si>
  <si>
    <t xml:space="preserve">    3/nieruchomość zabudowana budynkiem wczasowym ul.Tysiąclecia PP</t>
  </si>
  <si>
    <t xml:space="preserve">      nr 14 w Międzyzdrojach,działka nr 327,</t>
  </si>
  <si>
    <t xml:space="preserve">    4/nieruchomość zabudowana budynkiem wczasowym ul.Pomorska</t>
  </si>
  <si>
    <t xml:space="preserve">      nr 16 w Międzyzdrojach,działka nr 349,</t>
  </si>
  <si>
    <t xml:space="preserve">    5/nieruchomość zabudowana budynkiem wczasowym ul.Książąt </t>
  </si>
  <si>
    <t xml:space="preserve">      Pomorskich nr 27 a w Międzyzdrojach,działka nr 373,</t>
  </si>
  <si>
    <t xml:space="preserve">    6/nieruchomość zabudowana budynkiem wczasowym ul.Pomorska</t>
  </si>
  <si>
    <t xml:space="preserve">      nr 2 w Międzyzdrojach,działka nr 375,</t>
  </si>
  <si>
    <t xml:space="preserve">    7/nieruchomość zabudowana budynkiem wczasowym ul.Dąbrówki</t>
  </si>
  <si>
    <t xml:space="preserve">      nr 13 w Międzyzdrojach,działka nr 4/1,</t>
  </si>
  <si>
    <t xml:space="preserve">   8/ nieruchomość gruntowa przy ul.Gryfa Pomorskiego w Międzyzdrojach,</t>
  </si>
  <si>
    <t xml:space="preserve">       działki nr 562/13 i nr 562/23 o łącznej pow.1985 m2,</t>
  </si>
  <si>
    <t xml:space="preserve">   9/nieruchomość zabudowana budynkami użytkowymi tzw."Pomerania"</t>
  </si>
  <si>
    <t xml:space="preserve">      ul.Promenada Gwiazd nr 5 w Międzyzdrojach,działka nr 257/2 </t>
  </si>
  <si>
    <t xml:space="preserve">      o pow.4053 m2,</t>
  </si>
  <si>
    <t xml:space="preserve">  10/ nieruchomość gruntowa ul.Polna 44 w Międzyzdrojach,działka nr 565</t>
  </si>
  <si>
    <t xml:space="preserve">       o pow.710 m2,</t>
  </si>
  <si>
    <t xml:space="preserve">  11/nieruchomość gruntowa ul.Zwycięstwa 2 a w Międzyzdrojach, działka</t>
  </si>
  <si>
    <t xml:space="preserve">      nr 595 o pow.461 m2,</t>
  </si>
  <si>
    <t xml:space="preserve">  12/nieruchomość gruntowa przy ul.Marii Skłodowskiej-Curie 1 a </t>
  </si>
  <si>
    <t xml:space="preserve">      w Międzyzdrojach, działka nr 360/3 o pow.900 m2,</t>
  </si>
  <si>
    <t xml:space="preserve">  13/nieruchomości gruntowe w Wicku przy ul.Żwirowej </t>
  </si>
  <si>
    <t xml:space="preserve">  14/nieruchomość zabudowana budynkami wczasowymi ul.Główna 9-10,</t>
  </si>
  <si>
    <t xml:space="preserve">      działka nr 85/6 o pow.23790 m2,</t>
  </si>
  <si>
    <t xml:space="preserve">  15/nieruchomość gruntowa przy ul.Nowomyśliwskiej, działki nr 487/23,</t>
  </si>
  <si>
    <t xml:space="preserve">      487/25,487/26 o łącznej pow.9011 m2,</t>
  </si>
  <si>
    <t>9. wydatki bieżące w wysokości  23 590 410 zł planuje  się sfinansować z dochodów bieżących w wysokości</t>
  </si>
  <si>
    <t xml:space="preserve">    19 470 642 zł i z dochodów majątkowych w wysokości 4 119 768 zł.</t>
  </si>
  <si>
    <t>10.wydatki inwestycyjne planuje się na kwotę 36 579 127 zł i zamierza się sfinansować z dochodów majątkowych</t>
  </si>
  <si>
    <t xml:space="preserve">    na kwotę 36 579 127 zł.</t>
  </si>
  <si>
    <t>11. dochody majątkowe na kwotę  41 125 921 zł  przeznacza się  na :</t>
  </si>
  <si>
    <t xml:space="preserve"> 16/nieruchomosć gruntowa przy ul. Nowomyśliwskiej 102,działka nr 496/2</t>
  </si>
  <si>
    <t xml:space="preserve">     o pow.10 000m2</t>
  </si>
  <si>
    <t>1/dochody z tytułu wpływów z opłat za zajęcie pasa</t>
  </si>
  <si>
    <t>2/dotacje rozwojowe</t>
  </si>
  <si>
    <t>6/ dotacje rozwojowe</t>
  </si>
  <si>
    <t>1/ wpływy z tytułu opłaty produktowej</t>
  </si>
  <si>
    <t>Kultura i ochrona dziedzictwa narodowego</t>
  </si>
  <si>
    <t>Dochody stanowi dotacja rozwojowa</t>
  </si>
  <si>
    <t>2.remont przyziemia kaplicy na Cmentarzu Komunalnym</t>
  </si>
  <si>
    <t xml:space="preserve">1.utrzymanie sekcji sportowych (w tym dofinansowanie obozów </t>
  </si>
  <si>
    <t>sportowych na kwotę 20 000 zł dla Fali i Jantara )</t>
  </si>
  <si>
    <t>3.podatek od nieruchomości od stadionu miejskiego będącego</t>
  </si>
  <si>
    <t>w administrowaniu Zakładu Ochrony Środowiska</t>
  </si>
  <si>
    <t>14.remont drogi w ul.Podgórnej w m.Wicko</t>
  </si>
  <si>
    <t>15.zagospodarowanie terenu wraz z remontem ciągów pieszych-</t>
  </si>
  <si>
    <t xml:space="preserve">4.komputeryzacja urzędu (zestawy komputerowe, serwer </t>
  </si>
  <si>
    <t>3.remont sali ślubów</t>
  </si>
  <si>
    <t xml:space="preserve">   zadania w wysokości ok. 35 %-</t>
  </si>
  <si>
    <t>)</t>
  </si>
  <si>
    <t xml:space="preserve">  (udział własny gminy w finansowaniu zadania w wysokości ok.35%-</t>
  </si>
  <si>
    <t>w wysokości ok..35%-</t>
  </si>
  <si>
    <t>(udział własny gminy w finansowaniu zadania w wysokości ok.35%-</t>
  </si>
  <si>
    <t xml:space="preserve">   zadania w wysokości ok..35%-</t>
  </si>
  <si>
    <t xml:space="preserve">  (udział własny gminy w finansowaniu zadania w wysokości ok.30%-</t>
  </si>
  <si>
    <t>w wysokości ok.35%-</t>
  </si>
  <si>
    <t>1.utrzymanie szkoły podstawowej nr 1 (w tym utrzymanie</t>
  </si>
  <si>
    <t>UKS Chrobry 89 000 zł)</t>
  </si>
  <si>
    <t xml:space="preserve">9.nagrody dla uczniów </t>
  </si>
  <si>
    <t>10.nagrody dla dyrektorów szkół oraz nagroda Burmistrza dla nauczycieli</t>
  </si>
  <si>
    <t xml:space="preserve">11.umowy o dzieło-komisja kwalifikacyjna na nauczyciela </t>
  </si>
  <si>
    <t xml:space="preserve">12.dofinansowanie pracodawcom kosztów przygotowania zawodowego </t>
  </si>
  <si>
    <t>13.odpisy na zakładowy fundusz świadczeń socjalnych dla</t>
  </si>
  <si>
    <t>5.utrzymanie gimnazjum (w tym utrzymanie GIMSPORT 15 500 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</si>
</sst>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i/>
      <sz val="9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0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0" fontId="7" fillId="0" borderId="1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6" fontId="0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1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3"/>
  <sheetViews>
    <sheetView showGridLines="0" tabSelected="1" workbookViewId="0" topLeftCell="A313">
      <selection activeCell="B356" sqref="B356"/>
    </sheetView>
  </sheetViews>
  <sheetFormatPr defaultColWidth="9.00390625" defaultRowHeight="12.75"/>
  <cols>
    <col min="1" max="1" width="12.125" style="0" customWidth="1"/>
    <col min="2" max="2" width="13.75390625" style="0" customWidth="1"/>
    <col min="3" max="3" width="12.125" style="0" customWidth="1"/>
    <col min="4" max="4" width="11.75390625" style="4" customWidth="1"/>
    <col min="5" max="5" width="12.375" style="4" customWidth="1"/>
    <col min="6" max="6" width="10.75390625" style="0" customWidth="1"/>
    <col min="7" max="7" width="2.25390625" style="0" customWidth="1"/>
    <col min="8" max="8" width="13.625" style="4" customWidth="1"/>
    <col min="9" max="9" width="8.375" style="48" customWidth="1"/>
    <col min="10" max="10" width="12.75390625" style="0" bestFit="1" customWidth="1"/>
    <col min="11" max="11" width="13.125" style="0" bestFit="1" customWidth="1"/>
  </cols>
  <sheetData>
    <row r="2" spans="1:9" ht="15">
      <c r="A2" s="13" t="s">
        <v>270</v>
      </c>
      <c r="B2" s="14"/>
      <c r="C2" s="14"/>
      <c r="D2" s="15"/>
      <c r="E2" s="15"/>
      <c r="F2" s="14"/>
      <c r="G2" s="14"/>
      <c r="H2" s="15"/>
      <c r="I2" s="49"/>
    </row>
    <row r="3" spans="1:9" ht="15">
      <c r="A3" s="13"/>
      <c r="B3" s="14"/>
      <c r="C3" s="14"/>
      <c r="D3" s="15"/>
      <c r="E3" s="15"/>
      <c r="F3" s="14"/>
      <c r="G3" s="14"/>
      <c r="H3" s="32"/>
      <c r="I3" s="49"/>
    </row>
    <row r="5" spans="1:9" s="27" customFormat="1" ht="14.25">
      <c r="A5" s="27" t="s">
        <v>393</v>
      </c>
      <c r="D5" s="28"/>
      <c r="E5" s="28"/>
      <c r="H5" s="28"/>
      <c r="I5" s="48"/>
    </row>
    <row r="7" ht="12.75">
      <c r="A7" t="s">
        <v>394</v>
      </c>
    </row>
    <row r="9" ht="12.75">
      <c r="A9" t="s">
        <v>395</v>
      </c>
    </row>
    <row r="11" ht="12.75">
      <c r="A11" t="s">
        <v>161</v>
      </c>
    </row>
    <row r="13" ht="12.75">
      <c r="A13" t="s">
        <v>396</v>
      </c>
    </row>
    <row r="15" ht="12.75">
      <c r="A15" t="s">
        <v>397</v>
      </c>
    </row>
    <row r="17" ht="12.75">
      <c r="A17" t="s">
        <v>122</v>
      </c>
    </row>
    <row r="18" ht="12.75">
      <c r="A18" t="s">
        <v>398</v>
      </c>
    </row>
    <row r="19" ht="12.75">
      <c r="A19" t="s">
        <v>399</v>
      </c>
    </row>
    <row r="21" ht="12.75">
      <c r="A21" t="s">
        <v>400</v>
      </c>
    </row>
    <row r="22" ht="12.75">
      <c r="A22" t="s">
        <v>401</v>
      </c>
    </row>
    <row r="23" ht="12.75">
      <c r="A23" t="s">
        <v>402</v>
      </c>
    </row>
    <row r="25" spans="1:9" s="17" customFormat="1" ht="12.75">
      <c r="A25" s="26" t="s">
        <v>405</v>
      </c>
      <c r="D25" s="22"/>
      <c r="E25" s="22"/>
      <c r="H25" s="22"/>
      <c r="I25" s="48"/>
    </row>
    <row r="26" spans="1:9" s="17" customFormat="1" ht="12.75">
      <c r="A26" s="26" t="s">
        <v>403</v>
      </c>
      <c r="D26" s="22"/>
      <c r="E26" s="22"/>
      <c r="H26" s="22"/>
      <c r="I26" s="48"/>
    </row>
    <row r="27" ht="12.75">
      <c r="A27" s="16" t="s">
        <v>404</v>
      </c>
    </row>
    <row r="28" ht="12.75">
      <c r="A28" s="16"/>
    </row>
    <row r="29" spans="1:9" s="17" customFormat="1" ht="12.75">
      <c r="A29" s="26" t="s">
        <v>543</v>
      </c>
      <c r="D29" s="22"/>
      <c r="E29" s="22"/>
      <c r="H29" s="22"/>
      <c r="I29" s="48"/>
    </row>
    <row r="30" spans="1:11" s="17" customFormat="1" ht="12.75">
      <c r="A30" s="64" t="s">
        <v>544</v>
      </c>
      <c r="D30" s="22"/>
      <c r="E30" s="22"/>
      <c r="H30" s="22"/>
      <c r="I30" s="48"/>
      <c r="K30" s="33"/>
    </row>
    <row r="31" spans="1:9" s="17" customFormat="1" ht="12.75">
      <c r="A31" s="26"/>
      <c r="D31" s="22"/>
      <c r="E31" s="22"/>
      <c r="H31" s="22"/>
      <c r="I31" s="48"/>
    </row>
    <row r="32" spans="1:9" s="17" customFormat="1" ht="12.75">
      <c r="A32" s="26" t="s">
        <v>545</v>
      </c>
      <c r="D32" s="22"/>
      <c r="E32" s="22"/>
      <c r="H32" s="22"/>
      <c r="I32" s="48"/>
    </row>
    <row r="33" spans="1:9" s="17" customFormat="1" ht="12.75">
      <c r="A33" s="26" t="s">
        <v>546</v>
      </c>
      <c r="D33" s="22"/>
      <c r="E33" s="22"/>
      <c r="H33" s="33"/>
      <c r="I33" s="48"/>
    </row>
    <row r="34" spans="1:9" s="17" customFormat="1" ht="12.75">
      <c r="A34" s="26"/>
      <c r="D34" s="22"/>
      <c r="E34" s="22"/>
      <c r="H34" s="22"/>
      <c r="I34" s="48"/>
    </row>
    <row r="35" spans="1:9" s="17" customFormat="1" ht="12.75">
      <c r="A35" s="26" t="s">
        <v>547</v>
      </c>
      <c r="D35" s="22"/>
      <c r="E35" s="22"/>
      <c r="H35" s="22"/>
      <c r="I35" s="48"/>
    </row>
    <row r="36" spans="1:9" s="17" customFormat="1" ht="12.75">
      <c r="A36" s="26" t="s">
        <v>239</v>
      </c>
      <c r="D36" s="22"/>
      <c r="E36" s="22"/>
      <c r="H36" s="33">
        <v>4119768</v>
      </c>
      <c r="I36" s="48"/>
    </row>
    <row r="37" spans="1:10" s="17" customFormat="1" ht="12.75">
      <c r="A37" s="26" t="s">
        <v>238</v>
      </c>
      <c r="D37" s="22"/>
      <c r="E37" s="22"/>
      <c r="H37" s="33">
        <v>36579127</v>
      </c>
      <c r="I37" s="48"/>
      <c r="J37" s="33"/>
    </row>
    <row r="38" spans="1:10" s="17" customFormat="1" ht="12.75">
      <c r="A38" s="26" t="s">
        <v>406</v>
      </c>
      <c r="D38" s="22"/>
      <c r="E38" s="22"/>
      <c r="H38" s="33">
        <v>427026</v>
      </c>
      <c r="I38" s="60"/>
      <c r="J38" s="33"/>
    </row>
    <row r="39" spans="4:9" s="17" customFormat="1" ht="12.75">
      <c r="D39" s="22"/>
      <c r="E39" s="22"/>
      <c r="H39" s="33"/>
      <c r="I39" s="48"/>
    </row>
    <row r="40" spans="1:9" s="3" customFormat="1" ht="12.75">
      <c r="A40" s="3" t="s">
        <v>134</v>
      </c>
      <c r="D40" s="8"/>
      <c r="E40" s="8"/>
      <c r="H40" s="34">
        <v>60596563</v>
      </c>
      <c r="I40" s="50"/>
    </row>
    <row r="41" spans="1:8" ht="12.75">
      <c r="A41" s="3" t="s">
        <v>135</v>
      </c>
      <c r="H41" s="35">
        <v>60169537</v>
      </c>
    </row>
    <row r="42" spans="1:9" s="18" customFormat="1" ht="12.75">
      <c r="A42" s="18" t="s">
        <v>510</v>
      </c>
      <c r="D42" s="19"/>
      <c r="E42" s="19"/>
      <c r="H42" s="35">
        <f>H40-H41</f>
        <v>427026</v>
      </c>
      <c r="I42" s="50"/>
    </row>
    <row r="43" spans="1:9" s="18" customFormat="1" ht="12.75">
      <c r="A43" s="18" t="s">
        <v>140</v>
      </c>
      <c r="D43" s="19"/>
      <c r="E43" s="19"/>
      <c r="H43" s="35">
        <f>H44-H49</f>
        <v>-427026</v>
      </c>
      <c r="I43" s="50"/>
    </row>
    <row r="44" spans="1:9" s="18" customFormat="1" ht="12.75">
      <c r="A44" s="18" t="s">
        <v>141</v>
      </c>
      <c r="D44" s="19"/>
      <c r="E44" s="19"/>
      <c r="H44" s="35">
        <f>SUM(H46:H48)</f>
        <v>600000</v>
      </c>
      <c r="I44" s="50"/>
    </row>
    <row r="45" spans="1:8" ht="12.75">
      <c r="A45" t="s">
        <v>136</v>
      </c>
      <c r="H45" s="36"/>
    </row>
    <row r="46" spans="1:8" ht="12.75">
      <c r="A46" t="s">
        <v>137</v>
      </c>
      <c r="H46" s="36">
        <v>0</v>
      </c>
    </row>
    <row r="47" spans="1:8" ht="12.75">
      <c r="A47" t="s">
        <v>225</v>
      </c>
      <c r="H47" s="36">
        <v>100000</v>
      </c>
    </row>
    <row r="48" spans="1:8" ht="12.75">
      <c r="A48" t="s">
        <v>198</v>
      </c>
      <c r="H48" s="36">
        <v>500000</v>
      </c>
    </row>
    <row r="49" spans="1:9" s="18" customFormat="1" ht="12.75">
      <c r="A49" s="18" t="s">
        <v>142</v>
      </c>
      <c r="D49" s="19"/>
      <c r="E49" s="19"/>
      <c r="H49" s="35">
        <f>SUM(H51:H53)</f>
        <v>1027026</v>
      </c>
      <c r="I49" s="50"/>
    </row>
    <row r="50" spans="1:8" ht="12.75">
      <c r="A50" t="s">
        <v>136</v>
      </c>
      <c r="H50" s="36"/>
    </row>
    <row r="51" spans="1:8" ht="12.75">
      <c r="A51" t="s">
        <v>138</v>
      </c>
      <c r="H51" s="36">
        <v>927026</v>
      </c>
    </row>
    <row r="52" spans="1:8" ht="12.75">
      <c r="A52" t="s">
        <v>139</v>
      </c>
      <c r="H52" s="36">
        <v>0</v>
      </c>
    </row>
    <row r="53" spans="1:8" ht="12.75">
      <c r="A53" t="s">
        <v>226</v>
      </c>
      <c r="H53" s="36">
        <v>100000</v>
      </c>
    </row>
    <row r="60" spans="1:9" ht="14.25">
      <c r="A60" s="2" t="s">
        <v>0</v>
      </c>
      <c r="H60" s="8"/>
      <c r="I60" s="51" t="s">
        <v>1</v>
      </c>
    </row>
    <row r="61" spans="1:9" ht="14.25">
      <c r="A61" s="2"/>
      <c r="H61" s="36"/>
      <c r="I61" s="51"/>
    </row>
    <row r="62" spans="1:9" s="3" customFormat="1" ht="12.75">
      <c r="A62" s="3" t="s">
        <v>54</v>
      </c>
      <c r="B62" s="3" t="s">
        <v>55</v>
      </c>
      <c r="D62" s="8"/>
      <c r="E62" s="8"/>
      <c r="H62" s="34"/>
      <c r="I62" s="52"/>
    </row>
    <row r="63" spans="2:9" s="3" customFormat="1" ht="12.75">
      <c r="B63" s="6" t="s">
        <v>14</v>
      </c>
      <c r="D63" s="8"/>
      <c r="E63" s="8"/>
      <c r="H63" s="34">
        <f>SUM(H66:H67)</f>
        <v>10477755</v>
      </c>
      <c r="I63" s="52">
        <f>H63/$H$245</f>
        <v>0.17291005432106768</v>
      </c>
    </row>
    <row r="64" spans="2:9" s="3" customFormat="1" ht="12.75">
      <c r="B64" s="6" t="s">
        <v>15</v>
      </c>
      <c r="D64" s="8"/>
      <c r="E64" s="8"/>
      <c r="H64" s="34"/>
      <c r="I64" s="52"/>
    </row>
    <row r="65" spans="2:9" s="3" customFormat="1" ht="12.75">
      <c r="B65" t="s">
        <v>550</v>
      </c>
      <c r="D65" s="8"/>
      <c r="E65" s="8"/>
      <c r="H65" s="34"/>
      <c r="I65" s="52"/>
    </row>
    <row r="66" spans="2:9" s="3" customFormat="1" ht="12.75">
      <c r="B66" t="s">
        <v>411</v>
      </c>
      <c r="D66" s="8"/>
      <c r="E66" s="8"/>
      <c r="H66" s="37">
        <v>130000</v>
      </c>
      <c r="I66" s="53">
        <f>H66/$H$245</f>
        <v>0.002145336196708054</v>
      </c>
    </row>
    <row r="67" spans="2:9" s="3" customFormat="1" ht="12.75">
      <c r="B67" s="6" t="s">
        <v>551</v>
      </c>
      <c r="D67" s="8"/>
      <c r="E67" s="8"/>
      <c r="H67" s="37">
        <v>10347755</v>
      </c>
      <c r="I67" s="53">
        <f>H67/H$245</f>
        <v>0.17076471812435962</v>
      </c>
    </row>
    <row r="68" spans="2:9" s="3" customFormat="1" ht="12.75">
      <c r="B68" s="6"/>
      <c r="D68" s="8"/>
      <c r="E68" s="8"/>
      <c r="H68" s="37"/>
      <c r="I68" s="50"/>
    </row>
    <row r="69" spans="1:9" s="3" customFormat="1" ht="12.75">
      <c r="A69" s="3" t="s">
        <v>35</v>
      </c>
      <c r="B69" s="3" t="s">
        <v>36</v>
      </c>
      <c r="D69" s="8"/>
      <c r="E69" s="8"/>
      <c r="H69" s="39"/>
      <c r="I69" s="52"/>
    </row>
    <row r="70" spans="2:9" ht="12.75">
      <c r="B70" t="s">
        <v>2</v>
      </c>
      <c r="H70" s="39">
        <f>SUM(H72:H121)</f>
        <v>30942929</v>
      </c>
      <c r="I70" s="52">
        <f>H70/$H$245</f>
        <v>0.5106383508912874</v>
      </c>
    </row>
    <row r="71" spans="2:9" ht="12.75">
      <c r="B71" t="s">
        <v>3</v>
      </c>
      <c r="H71" s="40"/>
      <c r="I71" s="52"/>
    </row>
    <row r="72" spans="2:9" ht="12.75">
      <c r="B72" t="s">
        <v>123</v>
      </c>
      <c r="H72" s="40"/>
      <c r="I72" s="53"/>
    </row>
    <row r="73" spans="2:9" ht="12.75">
      <c r="B73" t="s">
        <v>407</v>
      </c>
      <c r="H73" s="40">
        <v>905169</v>
      </c>
      <c r="I73" s="53">
        <f>H73/H$245</f>
        <v>0.014937629383369483</v>
      </c>
    </row>
    <row r="74" spans="2:9" ht="12.75">
      <c r="B74" t="s">
        <v>143</v>
      </c>
      <c r="H74" s="40"/>
      <c r="I74" s="53"/>
    </row>
    <row r="75" spans="2:9" ht="12.75">
      <c r="B75" t="s">
        <v>37</v>
      </c>
      <c r="H75" s="40"/>
      <c r="I75" s="53"/>
    </row>
    <row r="76" spans="2:9" ht="12.75">
      <c r="B76" t="s">
        <v>38</v>
      </c>
      <c r="H76" s="40">
        <v>1400000</v>
      </c>
      <c r="I76" s="53">
        <f>H76/H$245</f>
        <v>0.02310362057993289</v>
      </c>
    </row>
    <row r="77" spans="2:9" ht="12.75">
      <c r="B77" t="s">
        <v>144</v>
      </c>
      <c r="H77" s="40"/>
      <c r="I77" s="53"/>
    </row>
    <row r="78" spans="2:9" ht="12.75">
      <c r="B78" t="s">
        <v>199</v>
      </c>
      <c r="H78" s="66">
        <v>140000</v>
      </c>
      <c r="I78" s="53">
        <f>H78/H$245</f>
        <v>0.0023103620579932893</v>
      </c>
    </row>
    <row r="79" spans="2:9" ht="12.75">
      <c r="B79" t="s">
        <v>162</v>
      </c>
      <c r="H79" s="40"/>
      <c r="I79" s="53"/>
    </row>
    <row r="80" spans="2:9" ht="12.75">
      <c r="B80" t="s">
        <v>163</v>
      </c>
      <c r="H80" s="66">
        <v>1200000</v>
      </c>
      <c r="I80" s="53">
        <f>H80/H$245</f>
        <v>0.019803103354228194</v>
      </c>
    </row>
    <row r="81" spans="2:9" ht="12.75">
      <c r="B81" t="s">
        <v>408</v>
      </c>
      <c r="H81" s="66">
        <f>SUM(F82:F118)</f>
        <v>26307800</v>
      </c>
      <c r="I81" s="53">
        <f>H81/H$245</f>
        <v>0.43414673535197035</v>
      </c>
    </row>
    <row r="82" spans="2:9" ht="12.75">
      <c r="B82" t="s">
        <v>240</v>
      </c>
      <c r="F82" s="46">
        <f>25550000+650000</f>
        <v>26200000</v>
      </c>
      <c r="G82" s="4"/>
      <c r="H82" s="40"/>
      <c r="I82" s="53"/>
    </row>
    <row r="83" spans="2:9" ht="12.75">
      <c r="B83" t="s">
        <v>511</v>
      </c>
      <c r="F83" s="46"/>
      <c r="G83" s="4"/>
      <c r="H83" s="40"/>
      <c r="I83" s="53"/>
    </row>
    <row r="84" spans="2:9" ht="12.75">
      <c r="B84" t="s">
        <v>512</v>
      </c>
      <c r="F84" s="46"/>
      <c r="G84" s="4"/>
      <c r="H84" s="40"/>
      <c r="I84" s="53"/>
    </row>
    <row r="85" spans="2:9" ht="12.75">
      <c r="B85" t="s">
        <v>513</v>
      </c>
      <c r="F85" s="46"/>
      <c r="G85" s="4"/>
      <c r="H85" s="40"/>
      <c r="I85" s="53"/>
    </row>
    <row r="86" spans="2:9" ht="12.75">
      <c r="B86" t="s">
        <v>514</v>
      </c>
      <c r="F86" s="46"/>
      <c r="G86" s="4"/>
      <c r="H86" s="40"/>
      <c r="I86" s="53"/>
    </row>
    <row r="87" spans="2:9" ht="12.75">
      <c r="B87" t="s">
        <v>515</v>
      </c>
      <c r="F87" s="46"/>
      <c r="G87" s="4"/>
      <c r="H87" s="40"/>
      <c r="I87" s="53"/>
    </row>
    <row r="88" spans="2:9" ht="12.75">
      <c r="B88" t="s">
        <v>516</v>
      </c>
      <c r="F88" s="46"/>
      <c r="G88" s="4"/>
      <c r="H88" s="40"/>
      <c r="I88" s="53"/>
    </row>
    <row r="89" spans="2:9" ht="12.75">
      <c r="B89" t="s">
        <v>517</v>
      </c>
      <c r="F89" s="46"/>
      <c r="G89" s="4"/>
      <c r="H89" s="40"/>
      <c r="I89" s="53"/>
    </row>
    <row r="90" spans="2:9" ht="12.75">
      <c r="B90" t="s">
        <v>518</v>
      </c>
      <c r="F90" s="46"/>
      <c r="G90" s="4"/>
      <c r="H90" s="40"/>
      <c r="I90" s="53"/>
    </row>
    <row r="91" spans="2:9" ht="12.75">
      <c r="B91" t="s">
        <v>519</v>
      </c>
      <c r="F91" s="46"/>
      <c r="G91" s="4"/>
      <c r="H91" s="40"/>
      <c r="I91" s="53"/>
    </row>
    <row r="92" spans="2:9" ht="12.75">
      <c r="B92" t="s">
        <v>520</v>
      </c>
      <c r="F92" s="46"/>
      <c r="G92" s="4"/>
      <c r="H92" s="40"/>
      <c r="I92" s="53"/>
    </row>
    <row r="93" spans="2:9" ht="12.75">
      <c r="B93" t="s">
        <v>521</v>
      </c>
      <c r="F93" s="46"/>
      <c r="G93" s="4"/>
      <c r="H93" s="40"/>
      <c r="I93" s="53"/>
    </row>
    <row r="94" spans="2:9" ht="12.75">
      <c r="B94" t="s">
        <v>522</v>
      </c>
      <c r="F94" s="46"/>
      <c r="G94" s="4"/>
      <c r="H94" s="40"/>
      <c r="I94" s="53"/>
    </row>
    <row r="95" spans="2:9" ht="12.75">
      <c r="B95" t="s">
        <v>523</v>
      </c>
      <c r="F95" s="46"/>
      <c r="G95" s="4"/>
      <c r="H95" s="40"/>
      <c r="I95" s="53"/>
    </row>
    <row r="96" spans="2:9" ht="12.75">
      <c r="B96" t="s">
        <v>524</v>
      </c>
      <c r="F96" s="46"/>
      <c r="G96" s="4"/>
      <c r="H96" s="40"/>
      <c r="I96" s="53"/>
    </row>
    <row r="97" spans="2:9" ht="12.75">
      <c r="B97" t="s">
        <v>525</v>
      </c>
      <c r="F97" s="46"/>
      <c r="G97" s="4"/>
      <c r="H97" s="40"/>
      <c r="I97" s="53"/>
    </row>
    <row r="98" spans="2:9" ht="12.75">
      <c r="B98" t="s">
        <v>526</v>
      </c>
      <c r="F98" s="46"/>
      <c r="G98" s="4"/>
      <c r="H98" s="40"/>
      <c r="I98" s="53"/>
    </row>
    <row r="99" spans="2:9" ht="12.75">
      <c r="B99" t="s">
        <v>527</v>
      </c>
      <c r="F99" s="46"/>
      <c r="G99" s="4"/>
      <c r="H99" s="40"/>
      <c r="I99" s="53"/>
    </row>
    <row r="100" spans="2:9" ht="12.75">
      <c r="B100" t="s">
        <v>528</v>
      </c>
      <c r="F100" s="46"/>
      <c r="G100" s="4"/>
      <c r="H100" s="40"/>
      <c r="I100" s="53"/>
    </row>
    <row r="101" spans="2:9" ht="12.75">
      <c r="B101" t="s">
        <v>529</v>
      </c>
      <c r="F101" s="46"/>
      <c r="G101" s="4"/>
      <c r="H101" s="40"/>
      <c r="I101" s="53"/>
    </row>
    <row r="102" spans="2:9" ht="12.75">
      <c r="B102" t="s">
        <v>530</v>
      </c>
      <c r="F102" s="46"/>
      <c r="G102" s="4"/>
      <c r="H102" s="40"/>
      <c r="I102" s="53"/>
    </row>
    <row r="103" spans="2:9" ht="12.75">
      <c r="B103" t="s">
        <v>531</v>
      </c>
      <c r="F103" s="46"/>
      <c r="G103" s="4"/>
      <c r="H103" s="40"/>
      <c r="I103" s="53"/>
    </row>
    <row r="104" spans="2:9" ht="12.75">
      <c r="B104" t="s">
        <v>532</v>
      </c>
      <c r="F104" s="46"/>
      <c r="G104" s="4"/>
      <c r="H104" s="40"/>
      <c r="I104" s="53"/>
    </row>
    <row r="105" spans="2:9" ht="12.75">
      <c r="B105" t="s">
        <v>533</v>
      </c>
      <c r="F105" s="46"/>
      <c r="G105" s="4"/>
      <c r="H105" s="40"/>
      <c r="I105" s="53"/>
    </row>
    <row r="106" spans="2:9" ht="12.75">
      <c r="B106" t="s">
        <v>534</v>
      </c>
      <c r="F106" s="46"/>
      <c r="G106" s="4"/>
      <c r="H106" s="40"/>
      <c r="I106" s="53"/>
    </row>
    <row r="107" spans="2:9" ht="12.75">
      <c r="B107" t="s">
        <v>535</v>
      </c>
      <c r="F107" s="46"/>
      <c r="G107" s="4"/>
      <c r="H107" s="40"/>
      <c r="I107" s="53"/>
    </row>
    <row r="108" spans="2:9" ht="12.75">
      <c r="B108" t="s">
        <v>536</v>
      </c>
      <c r="F108" s="46"/>
      <c r="G108" s="4"/>
      <c r="H108" s="40"/>
      <c r="I108" s="53"/>
    </row>
    <row r="109" spans="2:9" ht="12.75">
      <c r="B109" t="s">
        <v>537</v>
      </c>
      <c r="F109" s="46"/>
      <c r="G109" s="4"/>
      <c r="H109" s="40"/>
      <c r="I109" s="53"/>
    </row>
    <row r="110" spans="2:9" ht="12.75">
      <c r="B110" t="s">
        <v>538</v>
      </c>
      <c r="F110" s="46"/>
      <c r="G110" s="4"/>
      <c r="H110" s="40"/>
      <c r="I110" s="53"/>
    </row>
    <row r="111" spans="2:9" ht="12.75">
      <c r="B111" t="s">
        <v>539</v>
      </c>
      <c r="F111" s="46"/>
      <c r="G111" s="4"/>
      <c r="H111" s="40"/>
      <c r="I111" s="53"/>
    </row>
    <row r="112" spans="2:9" ht="12.75">
      <c r="B112" t="s">
        <v>540</v>
      </c>
      <c r="F112" s="46"/>
      <c r="G112" s="4"/>
      <c r="H112" s="40"/>
      <c r="I112" s="53"/>
    </row>
    <row r="113" spans="2:9" ht="12.75">
      <c r="B113" t="s">
        <v>541</v>
      </c>
      <c r="F113" s="46"/>
      <c r="G113" s="4"/>
      <c r="H113" s="40"/>
      <c r="I113" s="53"/>
    </row>
    <row r="114" spans="2:9" ht="12.75">
      <c r="B114" t="s">
        <v>542</v>
      </c>
      <c r="F114" s="46"/>
      <c r="G114" s="4"/>
      <c r="H114" s="40"/>
      <c r="I114" s="53"/>
    </row>
    <row r="115" spans="2:9" ht="12.75">
      <c r="B115" t="s">
        <v>548</v>
      </c>
      <c r="F115" s="46"/>
      <c r="G115" s="4"/>
      <c r="H115" s="40"/>
      <c r="I115" s="53"/>
    </row>
    <row r="116" spans="2:9" ht="12.75">
      <c r="B116" t="s">
        <v>549</v>
      </c>
      <c r="F116" s="46"/>
      <c r="G116" s="4"/>
      <c r="H116" s="40"/>
      <c r="I116" s="53"/>
    </row>
    <row r="117" spans="2:9" ht="12.75">
      <c r="B117" t="s">
        <v>241</v>
      </c>
      <c r="F117" s="46">
        <v>100000</v>
      </c>
      <c r="G117" s="4"/>
      <c r="H117" s="40"/>
      <c r="I117" s="53"/>
    </row>
    <row r="118" spans="2:9" ht="12.75">
      <c r="B118" t="s">
        <v>242</v>
      </c>
      <c r="F118" s="46">
        <v>7800</v>
      </c>
      <c r="G118" s="4"/>
      <c r="H118" s="40"/>
      <c r="I118" s="53"/>
    </row>
    <row r="119" spans="2:9" ht="13.5" customHeight="1">
      <c r="B119" s="7" t="s">
        <v>409</v>
      </c>
      <c r="C119" s="7"/>
      <c r="H119" s="40">
        <f>38900+8700</f>
        <v>47600</v>
      </c>
      <c r="I119" s="53">
        <f>H119/H$245</f>
        <v>0.0007855230997177183</v>
      </c>
    </row>
    <row r="120" spans="2:9" ht="13.5" customHeight="1">
      <c r="B120" s="7" t="s">
        <v>410</v>
      </c>
      <c r="C120" s="7"/>
      <c r="H120" s="40">
        <v>18000</v>
      </c>
      <c r="I120" s="53">
        <f>H120/H$245</f>
        <v>0.0002970465503134229</v>
      </c>
    </row>
    <row r="121" spans="2:9" ht="13.5" customHeight="1">
      <c r="B121" s="7" t="s">
        <v>412</v>
      </c>
      <c r="C121" s="7"/>
      <c r="H121" s="40">
        <v>924360</v>
      </c>
      <c r="I121" s="53">
        <f>H121/H$245</f>
        <v>0.015254330513761977</v>
      </c>
    </row>
    <row r="122" spans="2:9" ht="12" customHeight="1">
      <c r="B122" s="7"/>
      <c r="C122" s="7"/>
      <c r="H122" s="40"/>
      <c r="I122" s="53"/>
    </row>
    <row r="123" spans="1:9" s="3" customFormat="1" ht="12.75">
      <c r="A123" s="3" t="s">
        <v>39</v>
      </c>
      <c r="B123" s="3" t="s">
        <v>40</v>
      </c>
      <c r="D123" s="8"/>
      <c r="E123" s="8"/>
      <c r="H123" s="39"/>
      <c r="I123" s="53"/>
    </row>
    <row r="124" spans="2:9" ht="12.75">
      <c r="B124" t="s">
        <v>5</v>
      </c>
      <c r="H124" s="39">
        <f>SUM(H127:H131)</f>
        <v>210500</v>
      </c>
      <c r="I124" s="52">
        <f>H124/H$245</f>
        <v>0.0034737943800541957</v>
      </c>
    </row>
    <row r="125" spans="2:9" ht="12.75">
      <c r="B125" t="s">
        <v>15</v>
      </c>
      <c r="H125" s="42"/>
      <c r="I125" s="53"/>
    </row>
    <row r="126" spans="2:9" ht="12.75">
      <c r="B126" t="s">
        <v>263</v>
      </c>
      <c r="H126" s="40"/>
      <c r="I126" s="53"/>
    </row>
    <row r="127" spans="2:9" ht="12.75">
      <c r="B127" t="s">
        <v>102</v>
      </c>
      <c r="H127" s="40">
        <v>70000</v>
      </c>
      <c r="I127" s="53">
        <f>H127/H$245</f>
        <v>0.0011551810289966446</v>
      </c>
    </row>
    <row r="128" spans="2:9" ht="12.75">
      <c r="B128" t="s">
        <v>200</v>
      </c>
      <c r="H128" s="40">
        <v>2000</v>
      </c>
      <c r="I128" s="53">
        <f>H128/H$245</f>
        <v>3.3005172257046985E-05</v>
      </c>
    </row>
    <row r="129" spans="2:9" ht="12.75">
      <c r="B129" t="s">
        <v>413</v>
      </c>
      <c r="H129" s="40">
        <f>4600+100+800</f>
        <v>5500</v>
      </c>
      <c r="I129" s="53">
        <f>H129/H$245</f>
        <v>9.076422370687922E-05</v>
      </c>
    </row>
    <row r="130" spans="2:9" ht="12.75">
      <c r="B130" t="s">
        <v>227</v>
      </c>
      <c r="H130" s="40">
        <v>33000</v>
      </c>
      <c r="I130" s="53">
        <f>H130/H$245</f>
        <v>0.0005445853422412753</v>
      </c>
    </row>
    <row r="131" spans="2:9" ht="12" customHeight="1">
      <c r="B131" s="7" t="s">
        <v>228</v>
      </c>
      <c r="C131" s="7"/>
      <c r="H131" s="40">
        <v>100000</v>
      </c>
      <c r="I131" s="53">
        <f>H131/H$245</f>
        <v>0.0016502586128523493</v>
      </c>
    </row>
    <row r="132" spans="2:9" ht="12" customHeight="1">
      <c r="B132" s="7"/>
      <c r="C132" s="7"/>
      <c r="H132" s="40"/>
      <c r="I132" s="53"/>
    </row>
    <row r="133" spans="1:9" s="18" customFormat="1" ht="12" customHeight="1">
      <c r="A133" s="18" t="s">
        <v>41</v>
      </c>
      <c r="B133" s="20" t="s">
        <v>42</v>
      </c>
      <c r="C133" s="20"/>
      <c r="D133" s="19"/>
      <c r="E133" s="19"/>
      <c r="H133" s="41">
        <f>SUM(H134:H134)</f>
        <v>1140</v>
      </c>
      <c r="I133" s="52">
        <f>H133/H$245</f>
        <v>1.8812948186516782E-05</v>
      </c>
    </row>
    <row r="134" spans="2:9" ht="12" customHeight="1">
      <c r="B134" t="s">
        <v>164</v>
      </c>
      <c r="C134" s="7"/>
      <c r="H134" s="40">
        <v>1140</v>
      </c>
      <c r="I134" s="53">
        <f>H134/H$245</f>
        <v>1.8812948186516782E-05</v>
      </c>
    </row>
    <row r="135" spans="2:9" ht="12" customHeight="1">
      <c r="B135" s="7"/>
      <c r="C135" s="7"/>
      <c r="H135" s="40"/>
      <c r="I135" s="53"/>
    </row>
    <row r="136" spans="1:9" s="3" customFormat="1" ht="12.75">
      <c r="A136" s="3" t="s">
        <v>43</v>
      </c>
      <c r="B136" s="21" t="s">
        <v>44</v>
      </c>
      <c r="D136" s="8"/>
      <c r="E136" s="8"/>
      <c r="H136" s="39">
        <f>SUM(H137:H137)</f>
        <v>30000</v>
      </c>
      <c r="I136" s="52">
        <f>H136/H$245</f>
        <v>0.0004950775838557048</v>
      </c>
    </row>
    <row r="137" spans="2:9" ht="12" customHeight="1">
      <c r="B137" s="7" t="s">
        <v>165</v>
      </c>
      <c r="C137" s="7"/>
      <c r="H137" s="40">
        <v>30000</v>
      </c>
      <c r="I137" s="53">
        <f>H137/H$245</f>
        <v>0.0004950775838557048</v>
      </c>
    </row>
    <row r="138" spans="2:9" ht="12" customHeight="1">
      <c r="B138" s="7"/>
      <c r="C138" s="7"/>
      <c r="H138" s="40"/>
      <c r="I138" s="53"/>
    </row>
    <row r="139" spans="1:9" s="3" customFormat="1" ht="12.75">
      <c r="A139" s="3" t="s">
        <v>45</v>
      </c>
      <c r="B139" s="3" t="s">
        <v>16</v>
      </c>
      <c r="D139" s="8"/>
      <c r="E139" s="8"/>
      <c r="H139" s="40"/>
      <c r="I139" s="53"/>
    </row>
    <row r="140" spans="2:9" s="3" customFormat="1" ht="12.75">
      <c r="B140" s="3" t="s">
        <v>145</v>
      </c>
      <c r="D140" s="8"/>
      <c r="E140" s="8"/>
      <c r="H140" s="40"/>
      <c r="I140" s="53"/>
    </row>
    <row r="141" spans="2:9" s="3" customFormat="1" ht="12.75">
      <c r="B141" s="3" t="s">
        <v>156</v>
      </c>
      <c r="D141" s="8"/>
      <c r="E141" s="8"/>
      <c r="H141" s="40"/>
      <c r="I141" s="53"/>
    </row>
    <row r="142" spans="2:9" ht="12.75">
      <c r="B142" t="s">
        <v>17</v>
      </c>
      <c r="H142" s="39">
        <f>SUM(H145:H170)</f>
        <v>10809610</v>
      </c>
      <c r="I142" s="52">
        <f>H142/H$245</f>
        <v>0.17838652004074884</v>
      </c>
    </row>
    <row r="143" spans="2:9" ht="12.75">
      <c r="B143" t="s">
        <v>15</v>
      </c>
      <c r="H143" s="40"/>
      <c r="I143" s="53"/>
    </row>
    <row r="144" spans="2:9" ht="12.75">
      <c r="B144" s="6" t="s">
        <v>46</v>
      </c>
      <c r="H144" s="40"/>
      <c r="I144" s="53"/>
    </row>
    <row r="145" spans="2:9" ht="12.75">
      <c r="B145" s="6" t="s">
        <v>47</v>
      </c>
      <c r="H145" s="40">
        <v>138000</v>
      </c>
      <c r="I145" s="53">
        <f>H145/H$245</f>
        <v>0.002277356885736242</v>
      </c>
    </row>
    <row r="146" spans="2:9" ht="12.75">
      <c r="B146" s="6" t="s">
        <v>103</v>
      </c>
      <c r="H146" s="40"/>
      <c r="I146" s="53"/>
    </row>
    <row r="147" spans="2:9" ht="12.75">
      <c r="B147" s="6" t="s">
        <v>104</v>
      </c>
      <c r="H147" s="40">
        <v>300</v>
      </c>
      <c r="I147" s="53">
        <f aca="true" t="shared" si="0" ref="I147:I154">H147/H$245</f>
        <v>4.950775838557049E-06</v>
      </c>
    </row>
    <row r="148" spans="2:9" ht="12.75">
      <c r="B148" s="17" t="s">
        <v>146</v>
      </c>
      <c r="F148" t="s">
        <v>166</v>
      </c>
      <c r="H148" s="40">
        <f>3916200+70860</f>
        <v>3987060</v>
      </c>
      <c r="I148" s="53">
        <f t="shared" si="0"/>
        <v>0.06579680104959088</v>
      </c>
    </row>
    <row r="149" spans="2:9" ht="12.75">
      <c r="B149" t="s">
        <v>147</v>
      </c>
      <c r="F149" t="s">
        <v>166</v>
      </c>
      <c r="H149" s="40">
        <v>200</v>
      </c>
      <c r="I149" s="53">
        <f t="shared" si="0"/>
        <v>3.300517225704699E-06</v>
      </c>
    </row>
    <row r="150" spans="2:9" ht="12.75">
      <c r="B150" s="17" t="s">
        <v>148</v>
      </c>
      <c r="F150" t="s">
        <v>166</v>
      </c>
      <c r="H150" s="40">
        <v>74000</v>
      </c>
      <c r="I150" s="53">
        <f t="shared" si="0"/>
        <v>0.0012211913735107386</v>
      </c>
    </row>
    <row r="151" spans="2:9" ht="12.75">
      <c r="B151" s="6" t="s">
        <v>149</v>
      </c>
      <c r="C151" s="6"/>
      <c r="D151" s="9"/>
      <c r="E151" s="9"/>
      <c r="F151" t="s">
        <v>166</v>
      </c>
      <c r="G151" s="6"/>
      <c r="H151" s="40">
        <v>9000</v>
      </c>
      <c r="I151" s="53">
        <f t="shared" si="0"/>
        <v>0.00014852327515671145</v>
      </c>
    </row>
    <row r="152" spans="2:9" ht="12.75">
      <c r="B152" s="17" t="s">
        <v>168</v>
      </c>
      <c r="C152" s="6"/>
      <c r="D152" s="9"/>
      <c r="E152" s="9"/>
      <c r="F152" t="s">
        <v>166</v>
      </c>
      <c r="G152" s="6"/>
      <c r="H152" s="40">
        <v>52000</v>
      </c>
      <c r="I152" s="53">
        <f t="shared" si="0"/>
        <v>0.0008581344786832217</v>
      </c>
    </row>
    <row r="153" spans="2:9" ht="12.75">
      <c r="B153" s="6" t="s">
        <v>414</v>
      </c>
      <c r="C153" s="6"/>
      <c r="D153" s="9"/>
      <c r="E153" s="9"/>
      <c r="F153" s="6"/>
      <c r="G153" s="6"/>
      <c r="H153" s="40">
        <v>6100</v>
      </c>
      <c r="I153" s="53">
        <f t="shared" si="0"/>
        <v>0.00010066577538399331</v>
      </c>
    </row>
    <row r="154" spans="2:9" ht="12.75">
      <c r="B154" s="6" t="s">
        <v>169</v>
      </c>
      <c r="C154" s="6"/>
      <c r="D154" s="9"/>
      <c r="E154" s="9"/>
      <c r="F154" t="s">
        <v>166</v>
      </c>
      <c r="G154" s="6"/>
      <c r="H154" s="40">
        <v>10000</v>
      </c>
      <c r="I154" s="53">
        <f t="shared" si="0"/>
        <v>0.00016502586128523493</v>
      </c>
    </row>
    <row r="155" spans="2:9" ht="12.75">
      <c r="B155" s="17" t="s">
        <v>170</v>
      </c>
      <c r="C155" s="6"/>
      <c r="D155" s="9"/>
      <c r="E155" s="9"/>
      <c r="F155" s="31" t="s">
        <v>167</v>
      </c>
      <c r="G155" s="6"/>
      <c r="H155" s="40">
        <v>1518330</v>
      </c>
      <c r="I155" s="53">
        <f aca="true" t="shared" si="1" ref="I155:I166">H155/H$245</f>
        <v>0.025056371596521076</v>
      </c>
    </row>
    <row r="156" spans="2:9" ht="12.75">
      <c r="B156" t="s">
        <v>171</v>
      </c>
      <c r="C156" s="6"/>
      <c r="D156" s="9"/>
      <c r="E156" s="9"/>
      <c r="F156" s="31" t="s">
        <v>167</v>
      </c>
      <c r="G156" s="6"/>
      <c r="H156" s="40">
        <v>7490</v>
      </c>
      <c r="I156" s="53">
        <f t="shared" si="1"/>
        <v>0.00012360437010264098</v>
      </c>
    </row>
    <row r="157" spans="2:9" ht="12.75">
      <c r="B157" s="6" t="s">
        <v>201</v>
      </c>
      <c r="C157" s="6"/>
      <c r="D157" s="9"/>
      <c r="E157" s="9"/>
      <c r="F157" s="31" t="s">
        <v>167</v>
      </c>
      <c r="G157" s="6"/>
      <c r="H157" s="40">
        <v>58000</v>
      </c>
      <c r="I157" s="53">
        <f t="shared" si="1"/>
        <v>0.0009571499954543626</v>
      </c>
    </row>
    <row r="158" spans="2:9" ht="12.75">
      <c r="B158" s="6" t="s">
        <v>202</v>
      </c>
      <c r="C158" s="6"/>
      <c r="D158" s="9"/>
      <c r="E158" s="9"/>
      <c r="F158" s="31" t="s">
        <v>167</v>
      </c>
      <c r="G158" s="6"/>
      <c r="H158" s="40">
        <v>46000</v>
      </c>
      <c r="I158" s="53">
        <f t="shared" si="1"/>
        <v>0.0007591189619120807</v>
      </c>
    </row>
    <row r="159" spans="2:9" ht="12.75">
      <c r="B159" s="6" t="s">
        <v>415</v>
      </c>
      <c r="C159" s="6"/>
      <c r="D159" s="9"/>
      <c r="E159" s="9"/>
      <c r="F159" s="31" t="s">
        <v>167</v>
      </c>
      <c r="G159" s="6"/>
      <c r="H159" s="40">
        <v>4000</v>
      </c>
      <c r="I159" s="53">
        <f t="shared" si="1"/>
        <v>6.601034451409397E-05</v>
      </c>
    </row>
    <row r="160" spans="2:9" ht="12.75">
      <c r="B160" s="6" t="s">
        <v>203</v>
      </c>
      <c r="C160" s="6"/>
      <c r="D160" s="9"/>
      <c r="E160" s="9"/>
      <c r="F160" s="31" t="s">
        <v>167</v>
      </c>
      <c r="G160" s="6"/>
      <c r="H160" s="40">
        <v>140000</v>
      </c>
      <c r="I160" s="53">
        <f t="shared" si="1"/>
        <v>0.0023103620579932893</v>
      </c>
    </row>
    <row r="161" spans="2:9" ht="12.75">
      <c r="B161" s="6" t="s">
        <v>416</v>
      </c>
      <c r="C161" s="6"/>
      <c r="D161" s="9"/>
      <c r="E161" s="9"/>
      <c r="F161" s="31"/>
      <c r="G161" s="6"/>
      <c r="H161" s="40">
        <v>678400</v>
      </c>
      <c r="I161" s="53">
        <f t="shared" si="1"/>
        <v>0.011195354429590338</v>
      </c>
    </row>
    <row r="162" spans="2:9" ht="12.75">
      <c r="B162" s="17" t="s">
        <v>204</v>
      </c>
      <c r="C162" s="6"/>
      <c r="D162" s="9"/>
      <c r="E162" s="9"/>
      <c r="F162" s="31" t="s">
        <v>167</v>
      </c>
      <c r="G162" s="6"/>
      <c r="H162" s="40">
        <v>300000</v>
      </c>
      <c r="I162" s="53">
        <f t="shared" si="1"/>
        <v>0.004950775838557049</v>
      </c>
    </row>
    <row r="163" spans="2:9" ht="12.75">
      <c r="B163" s="31" t="s">
        <v>205</v>
      </c>
      <c r="C163" s="6"/>
      <c r="D163" s="9"/>
      <c r="E163" s="9"/>
      <c r="F163" s="31"/>
      <c r="G163" s="6"/>
      <c r="H163" s="40">
        <v>8000</v>
      </c>
      <c r="I163" s="53">
        <f t="shared" si="1"/>
        <v>0.00013202068902818794</v>
      </c>
    </row>
    <row r="164" spans="2:9" ht="12.75">
      <c r="B164" s="6" t="s">
        <v>206</v>
      </c>
      <c r="C164" s="6"/>
      <c r="D164" s="9"/>
      <c r="E164" s="9"/>
      <c r="F164" s="31" t="s">
        <v>167</v>
      </c>
      <c r="G164" s="6"/>
      <c r="H164" s="40">
        <f>12000+300</f>
        <v>12300</v>
      </c>
      <c r="I164" s="53">
        <f t="shared" si="1"/>
        <v>0.000202981809380839</v>
      </c>
    </row>
    <row r="165" spans="2:9" ht="12.75">
      <c r="B165" s="6" t="s">
        <v>207</v>
      </c>
      <c r="C165" s="6"/>
      <c r="D165" s="9"/>
      <c r="E165" s="9"/>
      <c r="F165" s="6"/>
      <c r="G165" s="6"/>
      <c r="H165" s="40">
        <v>40000</v>
      </c>
      <c r="I165" s="53">
        <f t="shared" si="1"/>
        <v>0.0006601034451409397</v>
      </c>
    </row>
    <row r="166" spans="2:9" ht="12.75">
      <c r="B166" s="6" t="s">
        <v>208</v>
      </c>
      <c r="C166" s="6"/>
      <c r="D166" s="9"/>
      <c r="E166" s="9"/>
      <c r="F166" s="6"/>
      <c r="G166" s="6"/>
      <c r="H166" s="40">
        <v>360000</v>
      </c>
      <c r="I166" s="53">
        <f t="shared" si="1"/>
        <v>0.005940931006268458</v>
      </c>
    </row>
    <row r="167" spans="2:9" ht="12.75">
      <c r="B167" s="6" t="s">
        <v>417</v>
      </c>
      <c r="C167" s="6"/>
      <c r="D167" s="9"/>
      <c r="E167" s="9"/>
      <c r="F167" s="6"/>
      <c r="G167" s="6"/>
      <c r="H167" s="40"/>
      <c r="I167" s="53"/>
    </row>
    <row r="168" spans="2:9" ht="12.75">
      <c r="B168" s="6" t="s">
        <v>418</v>
      </c>
      <c r="C168" s="6"/>
      <c r="D168" s="9"/>
      <c r="E168" s="9"/>
      <c r="F168" s="6"/>
      <c r="G168" s="6"/>
      <c r="H168" s="40">
        <v>10000</v>
      </c>
      <c r="I168" s="53">
        <f>H168/H$245</f>
        <v>0.00016502586128523493</v>
      </c>
    </row>
    <row r="169" spans="2:9" ht="12.75">
      <c r="B169" s="6" t="s">
        <v>229</v>
      </c>
      <c r="C169" s="6"/>
      <c r="D169" s="9"/>
      <c r="E169" s="9"/>
      <c r="F169" s="6"/>
      <c r="G169" s="6"/>
      <c r="H169" s="40">
        <v>3150430</v>
      </c>
      <c r="I169" s="53">
        <f>H169/H$245</f>
        <v>0.05199024241688427</v>
      </c>
    </row>
    <row r="170" spans="2:9" ht="12.75">
      <c r="B170" s="6" t="s">
        <v>230</v>
      </c>
      <c r="C170" s="6"/>
      <c r="D170" s="9"/>
      <c r="E170" s="9"/>
      <c r="F170" s="6"/>
      <c r="G170" s="6"/>
      <c r="H170" s="40">
        <v>200000</v>
      </c>
      <c r="I170" s="53">
        <f>H170/H$245</f>
        <v>0.0033005172257046986</v>
      </c>
    </row>
    <row r="171" spans="2:9" ht="12" customHeight="1">
      <c r="B171" s="7"/>
      <c r="C171" s="7"/>
      <c r="H171" s="40"/>
      <c r="I171" s="53"/>
    </row>
    <row r="172" spans="1:9" s="3" customFormat="1" ht="12.75">
      <c r="A172" s="3" t="s">
        <v>48</v>
      </c>
      <c r="B172" s="3" t="s">
        <v>18</v>
      </c>
      <c r="D172" s="8"/>
      <c r="E172" s="8"/>
      <c r="H172" s="39">
        <f>SUM(H175:H180)</f>
        <v>2746001</v>
      </c>
      <c r="I172" s="52">
        <f>H172/H$245</f>
        <v>0.04531611801151164</v>
      </c>
    </row>
    <row r="173" spans="2:9" ht="12.75">
      <c r="B173" t="s">
        <v>419</v>
      </c>
      <c r="H173" s="40"/>
      <c r="I173" s="53"/>
    </row>
    <row r="174" spans="2:9" ht="12.75">
      <c r="B174" t="s">
        <v>420</v>
      </c>
      <c r="H174" s="40"/>
      <c r="I174" s="53"/>
    </row>
    <row r="175" spans="2:9" ht="12.75">
      <c r="B175" t="s">
        <v>172</v>
      </c>
      <c r="H175" s="42">
        <f>SUM(E177:E179)</f>
        <v>2746001</v>
      </c>
      <c r="I175" s="53">
        <f>H175/H$245</f>
        <v>0.04531611801151164</v>
      </c>
    </row>
    <row r="176" spans="2:9" ht="12.75">
      <c r="B176" t="s">
        <v>19</v>
      </c>
      <c r="H176" s="39"/>
      <c r="I176" s="53"/>
    </row>
    <row r="177" spans="2:9" ht="12.75">
      <c r="B177" t="s">
        <v>49</v>
      </c>
      <c r="E177" s="46">
        <v>2129063</v>
      </c>
      <c r="H177" s="39"/>
      <c r="I177" s="53"/>
    </row>
    <row r="178" spans="2:9" ht="12.75">
      <c r="B178" s="31" t="s">
        <v>150</v>
      </c>
      <c r="E178" s="36">
        <v>558985</v>
      </c>
      <c r="H178" s="39"/>
      <c r="I178" s="53"/>
    </row>
    <row r="179" spans="2:9" ht="12.75">
      <c r="B179" s="31" t="s">
        <v>209</v>
      </c>
      <c r="E179" s="36">
        <v>57953</v>
      </c>
      <c r="H179" s="39"/>
      <c r="I179" s="53"/>
    </row>
    <row r="180" spans="2:9" ht="12.75">
      <c r="B180" s="31"/>
      <c r="E180" s="36"/>
      <c r="H180" s="39"/>
      <c r="I180" s="53"/>
    </row>
    <row r="181" spans="1:9" s="3" customFormat="1" ht="12.75">
      <c r="A181" s="3" t="s">
        <v>50</v>
      </c>
      <c r="B181" s="3" t="s">
        <v>4</v>
      </c>
      <c r="D181" s="8"/>
      <c r="E181" s="34"/>
      <c r="H181" s="39"/>
      <c r="I181" s="53"/>
    </row>
    <row r="182" spans="2:9" ht="12.75">
      <c r="B182" t="s">
        <v>5</v>
      </c>
      <c r="E182" s="36"/>
      <c r="H182" s="39">
        <f>SUM(H185:H208)</f>
        <v>2089240</v>
      </c>
      <c r="I182" s="52">
        <f>H182/H$245</f>
        <v>0.03447786304315643</v>
      </c>
    </row>
    <row r="183" spans="2:9" ht="12.75">
      <c r="B183" t="s">
        <v>6</v>
      </c>
      <c r="E183" s="36"/>
      <c r="H183" s="40"/>
      <c r="I183" s="53"/>
    </row>
    <row r="184" spans="2:9" ht="12.75">
      <c r="B184" t="s">
        <v>7</v>
      </c>
      <c r="E184" s="36"/>
      <c r="H184" s="40"/>
      <c r="I184" s="53"/>
    </row>
    <row r="185" spans="2:9" ht="12.75">
      <c r="B185" t="s">
        <v>8</v>
      </c>
      <c r="E185" s="36"/>
      <c r="H185" s="40">
        <f>SUM(E187:E189)</f>
        <v>28100</v>
      </c>
      <c r="I185" s="53">
        <f>H185/H$245</f>
        <v>0.00046372267021151017</v>
      </c>
    </row>
    <row r="186" spans="2:9" ht="12.75">
      <c r="B186" t="s">
        <v>9</v>
      </c>
      <c r="E186" s="36"/>
      <c r="H186" s="40"/>
      <c r="I186" s="53"/>
    </row>
    <row r="187" spans="2:9" ht="12.75">
      <c r="B187" t="s">
        <v>10</v>
      </c>
      <c r="E187" s="40">
        <f>5000+5200</f>
        <v>10200</v>
      </c>
      <c r="H187" s="40"/>
      <c r="I187" s="53"/>
    </row>
    <row r="188" spans="2:9" ht="12.75">
      <c r="B188" t="s">
        <v>11</v>
      </c>
      <c r="E188" s="40">
        <v>12300</v>
      </c>
      <c r="H188" s="40"/>
      <c r="I188" s="53"/>
    </row>
    <row r="189" spans="2:9" ht="12.75">
      <c r="B189" t="s">
        <v>12</v>
      </c>
      <c r="E189" s="40">
        <v>5600</v>
      </c>
      <c r="H189" s="40"/>
      <c r="I189" s="53"/>
    </row>
    <row r="190" spans="5:9" ht="12.75">
      <c r="E190" s="40"/>
      <c r="H190" s="40"/>
      <c r="I190" s="53"/>
    </row>
    <row r="191" spans="2:9" ht="12.75">
      <c r="B191" t="s">
        <v>430</v>
      </c>
      <c r="E191" s="40"/>
      <c r="H191" s="40">
        <f>SUM(E193:E195)</f>
        <v>209240</v>
      </c>
      <c r="I191" s="53">
        <f>H191/H$245</f>
        <v>0.003453001121532256</v>
      </c>
    </row>
    <row r="192" spans="2:9" ht="12.75">
      <c r="B192" t="s">
        <v>13</v>
      </c>
      <c r="E192" s="40"/>
      <c r="H192" s="40"/>
      <c r="I192" s="53"/>
    </row>
    <row r="193" spans="2:9" ht="12.75">
      <c r="B193" t="s">
        <v>105</v>
      </c>
      <c r="E193" s="40">
        <v>86600</v>
      </c>
      <c r="H193" s="40"/>
      <c r="I193" s="53"/>
    </row>
    <row r="194" spans="2:9" ht="12.75">
      <c r="B194" t="s">
        <v>11</v>
      </c>
      <c r="E194" s="40">
        <v>33840</v>
      </c>
      <c r="H194" s="40"/>
      <c r="I194" s="53"/>
    </row>
    <row r="195" spans="2:9" ht="12.75">
      <c r="B195" t="s">
        <v>12</v>
      </c>
      <c r="E195" s="40">
        <v>88800</v>
      </c>
      <c r="H195" s="40"/>
      <c r="I195" s="53"/>
    </row>
    <row r="196" spans="2:9" ht="12.75">
      <c r="B196" t="s">
        <v>431</v>
      </c>
      <c r="E196" s="36"/>
      <c r="H196" s="40"/>
      <c r="I196" s="53"/>
    </row>
    <row r="197" spans="2:9" ht="12.75">
      <c r="B197" t="s">
        <v>124</v>
      </c>
      <c r="E197" s="36"/>
      <c r="H197" s="40">
        <f>100+800+600+300+250+200+50</f>
        <v>2300</v>
      </c>
      <c r="I197" s="53">
        <f>H197/H$245</f>
        <v>3.795594809560404E-05</v>
      </c>
    </row>
    <row r="198" spans="5:9" ht="12.75">
      <c r="E198" s="36"/>
      <c r="H198" s="40"/>
      <c r="I198" s="53"/>
    </row>
    <row r="199" spans="2:9" ht="12.75">
      <c r="B199" t="s">
        <v>432</v>
      </c>
      <c r="E199" s="36"/>
      <c r="H199" s="40">
        <f>SUM(E201:E204)</f>
        <v>283550</v>
      </c>
      <c r="I199" s="53">
        <f>H199/H$245</f>
        <v>0.004679308296742837</v>
      </c>
    </row>
    <row r="200" spans="2:9" ht="12.75">
      <c r="B200" t="s">
        <v>157</v>
      </c>
      <c r="E200" s="36"/>
      <c r="H200" s="40"/>
      <c r="I200" s="53"/>
    </row>
    <row r="201" spans="2:9" ht="12.75">
      <c r="B201" t="s">
        <v>158</v>
      </c>
      <c r="E201" s="40">
        <v>154000</v>
      </c>
      <c r="H201" s="40"/>
      <c r="I201" s="53"/>
    </row>
    <row r="202" spans="2:9" ht="12.75">
      <c r="B202" t="s">
        <v>159</v>
      </c>
      <c r="E202" s="40">
        <v>128800</v>
      </c>
      <c r="H202" s="40"/>
      <c r="I202" s="53"/>
    </row>
    <row r="203" spans="2:9" ht="12.75">
      <c r="B203" t="s">
        <v>160</v>
      </c>
      <c r="E203" s="40">
        <f>150+600</f>
        <v>750</v>
      </c>
      <c r="H203" s="40"/>
      <c r="I203" s="53"/>
    </row>
    <row r="204" spans="2:9" ht="12.75">
      <c r="B204" t="s">
        <v>210</v>
      </c>
      <c r="E204" s="40">
        <v>0</v>
      </c>
      <c r="H204" s="40"/>
      <c r="I204" s="53"/>
    </row>
    <row r="205" spans="2:9" ht="12.75">
      <c r="B205" t="s">
        <v>433</v>
      </c>
      <c r="E205" s="40"/>
      <c r="H205" s="40"/>
      <c r="I205" s="53"/>
    </row>
    <row r="206" spans="2:9" ht="12.75">
      <c r="B206" t="s">
        <v>421</v>
      </c>
      <c r="E206" s="40"/>
      <c r="H206" s="40"/>
      <c r="I206" s="53"/>
    </row>
    <row r="207" spans="2:9" ht="12.75">
      <c r="B207" t="s">
        <v>422</v>
      </c>
      <c r="E207" s="40"/>
      <c r="H207" s="40">
        <v>12000</v>
      </c>
      <c r="I207" s="53">
        <f>H207/H$245</f>
        <v>0.00019803103354228192</v>
      </c>
    </row>
    <row r="208" spans="2:9" ht="12.75">
      <c r="B208" t="s">
        <v>552</v>
      </c>
      <c r="E208" s="40"/>
      <c r="H208" s="40">
        <v>1554050</v>
      </c>
      <c r="I208" s="53">
        <f>H208/H$245</f>
        <v>0.025645843973031934</v>
      </c>
    </row>
    <row r="209" spans="5:9" ht="12.75">
      <c r="E209" s="40"/>
      <c r="H209" s="40"/>
      <c r="I209" s="53"/>
    </row>
    <row r="210" spans="5:9" ht="12.75">
      <c r="E210" s="40"/>
      <c r="H210" s="40"/>
      <c r="I210" s="53"/>
    </row>
    <row r="211" spans="1:9" s="3" customFormat="1" ht="12.75">
      <c r="A211" s="3" t="s">
        <v>151</v>
      </c>
      <c r="B211" s="3" t="s">
        <v>152</v>
      </c>
      <c r="D211" s="8"/>
      <c r="E211" s="8"/>
      <c r="H211" s="40"/>
      <c r="I211" s="53"/>
    </row>
    <row r="212" spans="2:9" ht="12.75">
      <c r="B212" t="s">
        <v>14</v>
      </c>
      <c r="H212" s="39">
        <f>SUM(H214:H228)</f>
        <v>1647572</v>
      </c>
      <c r="I212" s="52">
        <f>H212/H$245</f>
        <v>0.027189198832943712</v>
      </c>
    </row>
    <row r="213" spans="2:9" ht="12.75">
      <c r="B213" t="s">
        <v>15</v>
      </c>
      <c r="H213" s="40"/>
      <c r="I213" s="53"/>
    </row>
    <row r="214" spans="2:9" ht="12.75">
      <c r="B214" t="s">
        <v>173</v>
      </c>
      <c r="H214" s="40"/>
      <c r="I214" s="53"/>
    </row>
    <row r="215" spans="2:9" ht="12.75">
      <c r="B215" t="s">
        <v>175</v>
      </c>
      <c r="H215" s="40"/>
      <c r="I215" s="53"/>
    </row>
    <row r="216" spans="2:9" ht="12.75">
      <c r="B216" t="s">
        <v>174</v>
      </c>
      <c r="H216" s="40">
        <v>1126000</v>
      </c>
      <c r="I216" s="53">
        <f>H216/H$245</f>
        <v>0.018581911980717455</v>
      </c>
    </row>
    <row r="217" spans="2:9" ht="12.75">
      <c r="B217" t="s">
        <v>176</v>
      </c>
      <c r="H217" s="40"/>
      <c r="I217" s="53"/>
    </row>
    <row r="218" spans="2:9" ht="12.75">
      <c r="B218" t="s">
        <v>177</v>
      </c>
      <c r="H218" s="40"/>
      <c r="I218" s="53"/>
    </row>
    <row r="219" spans="2:9" ht="12.75">
      <c r="B219" t="s">
        <v>106</v>
      </c>
      <c r="H219" s="40">
        <v>13000</v>
      </c>
      <c r="I219" s="53">
        <f>H219/H$245</f>
        <v>0.00021453361967080543</v>
      </c>
    </row>
    <row r="220" spans="2:9" ht="12.75">
      <c r="B220" t="s">
        <v>178</v>
      </c>
      <c r="H220" s="40"/>
      <c r="I220" s="53"/>
    </row>
    <row r="221" spans="2:9" ht="12.75">
      <c r="B221" t="s">
        <v>125</v>
      </c>
      <c r="H221" s="40">
        <v>135000</v>
      </c>
      <c r="I221" s="53">
        <f>H221/H$245</f>
        <v>0.0022278491273506717</v>
      </c>
    </row>
    <row r="222" spans="2:9" ht="12.75">
      <c r="B222" t="s">
        <v>179</v>
      </c>
      <c r="H222" s="40">
        <v>162000</v>
      </c>
      <c r="I222" s="53">
        <f>H222/H$245</f>
        <v>0.002673418952820806</v>
      </c>
    </row>
    <row r="223" spans="2:9" ht="12.75">
      <c r="B223" t="s">
        <v>180</v>
      </c>
      <c r="H223" s="40">
        <v>106000</v>
      </c>
      <c r="I223" s="53">
        <f>H223/H$245</f>
        <v>0.0017492741296234904</v>
      </c>
    </row>
    <row r="224" spans="2:9" ht="12.75">
      <c r="B224" t="s">
        <v>181</v>
      </c>
      <c r="H224" s="40">
        <v>11000</v>
      </c>
      <c r="I224" s="53">
        <f>H224/H$245</f>
        <v>0.00018152844741375844</v>
      </c>
    </row>
    <row r="225" spans="2:9" ht="12.75">
      <c r="B225" t="s">
        <v>424</v>
      </c>
      <c r="H225" s="40"/>
      <c r="I225" s="53"/>
    </row>
    <row r="226" spans="2:9" ht="12.75">
      <c r="B226" t="s">
        <v>425</v>
      </c>
      <c r="H226" s="40">
        <v>38000</v>
      </c>
      <c r="I226" s="53">
        <f>H226/H$245</f>
        <v>0.0006270982728838928</v>
      </c>
    </row>
    <row r="227" spans="2:9" ht="12.75">
      <c r="B227" t="s">
        <v>423</v>
      </c>
      <c r="H227" s="40">
        <v>56000</v>
      </c>
      <c r="I227" s="53">
        <f>H227/H$245</f>
        <v>0.0009241448231973157</v>
      </c>
    </row>
    <row r="228" spans="2:9" ht="12.75">
      <c r="B228" t="s">
        <v>426</v>
      </c>
      <c r="H228" s="40">
        <f>272+200+100</f>
        <v>572</v>
      </c>
      <c r="I228" s="53">
        <f>H228/H$245</f>
        <v>9.439479265515438E-06</v>
      </c>
    </row>
    <row r="229" spans="8:9" ht="12.75">
      <c r="H229" s="40"/>
      <c r="I229" s="53"/>
    </row>
    <row r="230" spans="1:9" s="3" customFormat="1" ht="12.75">
      <c r="A230" s="3" t="s">
        <v>51</v>
      </c>
      <c r="B230" s="3" t="s">
        <v>52</v>
      </c>
      <c r="D230" s="8"/>
      <c r="E230" s="8"/>
      <c r="H230" s="41">
        <f>H232</f>
        <v>62500</v>
      </c>
      <c r="I230" s="52">
        <f>H230/H$245</f>
        <v>0.0010314116330327183</v>
      </c>
    </row>
    <row r="231" spans="2:9" ht="12.75">
      <c r="B231" t="s">
        <v>211</v>
      </c>
      <c r="H231" s="40"/>
      <c r="I231" s="53"/>
    </row>
    <row r="232" spans="2:9" ht="12.75">
      <c r="B232" t="s">
        <v>212</v>
      </c>
      <c r="H232" s="40">
        <v>62500</v>
      </c>
      <c r="I232" s="53">
        <f>H232/H$245</f>
        <v>0.0010314116330327183</v>
      </c>
    </row>
    <row r="233" spans="8:9" ht="12.75">
      <c r="H233" s="40"/>
      <c r="I233" s="53"/>
    </row>
    <row r="234" spans="1:9" ht="12.75">
      <c r="A234" s="3" t="s">
        <v>53</v>
      </c>
      <c r="B234" s="3" t="s">
        <v>131</v>
      </c>
      <c r="H234" s="39"/>
      <c r="I234" s="53"/>
    </row>
    <row r="235" spans="1:9" ht="12.75">
      <c r="A235" s="3"/>
      <c r="B235" s="6" t="s">
        <v>5</v>
      </c>
      <c r="H235" s="39">
        <f>SUM(H237:H238)</f>
        <v>844294</v>
      </c>
      <c r="I235" s="52">
        <f>H235/H$245</f>
        <v>0.013933034452795616</v>
      </c>
    </row>
    <row r="236" spans="1:9" ht="12.75">
      <c r="A236" s="3"/>
      <c r="B236" s="6" t="s">
        <v>15</v>
      </c>
      <c r="H236" s="39"/>
      <c r="I236" s="53"/>
    </row>
    <row r="237" spans="2:9" ht="12.75">
      <c r="B237" t="s">
        <v>553</v>
      </c>
      <c r="H237" s="40">
        <v>3000</v>
      </c>
      <c r="I237" s="53">
        <f>H237/H$245</f>
        <v>4.950775838557048E-05</v>
      </c>
    </row>
    <row r="238" spans="2:9" ht="12.75">
      <c r="B238" t="s">
        <v>551</v>
      </c>
      <c r="H238" s="40">
        <v>841294</v>
      </c>
      <c r="I238" s="53">
        <f>H238/H$245</f>
        <v>0.013883526694410044</v>
      </c>
    </row>
    <row r="239" spans="8:9" ht="12.75">
      <c r="H239" s="40"/>
      <c r="I239" s="53"/>
    </row>
    <row r="240" spans="1:9" ht="12.75">
      <c r="A240" s="3" t="s">
        <v>76</v>
      </c>
      <c r="B240" s="3" t="s">
        <v>554</v>
      </c>
      <c r="H240" s="39">
        <f>H241</f>
        <v>735022</v>
      </c>
      <c r="I240" s="52">
        <f>H240/H$245</f>
        <v>0.012129763861359595</v>
      </c>
    </row>
    <row r="241" spans="2:9" ht="12.75">
      <c r="B241" t="s">
        <v>555</v>
      </c>
      <c r="H241" s="40">
        <v>735022</v>
      </c>
      <c r="I241" s="53">
        <f>H241/H$245</f>
        <v>0.012129763861359595</v>
      </c>
    </row>
    <row r="242" spans="8:9" ht="12.75">
      <c r="H242" s="40"/>
      <c r="I242" s="53"/>
    </row>
    <row r="243" spans="8:9" ht="12.75">
      <c r="H243" s="40"/>
      <c r="I243" s="53"/>
    </row>
    <row r="244" spans="8:9" ht="12.75">
      <c r="H244" s="40"/>
      <c r="I244" s="53"/>
    </row>
    <row r="245" spans="2:9" s="1" customFormat="1" ht="15">
      <c r="B245" s="1" t="s">
        <v>20</v>
      </c>
      <c r="D245" s="11"/>
      <c r="E245" s="11"/>
      <c r="H245" s="39">
        <f>H63+H70+H124+H133+H136+H142+H172+H182+H212+H230+H235+H240</f>
        <v>60596563</v>
      </c>
      <c r="I245" s="52">
        <f>H245/H$245</f>
        <v>1</v>
      </c>
    </row>
    <row r="246" spans="1:9" s="1" customFormat="1" ht="15">
      <c r="A246" s="1" t="s">
        <v>427</v>
      </c>
      <c r="D246" s="11"/>
      <c r="E246" s="11"/>
      <c r="H246" s="39"/>
      <c r="I246" s="52"/>
    </row>
    <row r="247" spans="1:9" s="1" customFormat="1" ht="15">
      <c r="A247" s="1" t="s">
        <v>428</v>
      </c>
      <c r="D247" s="11"/>
      <c r="E247" s="11"/>
      <c r="H247" s="65">
        <f>H245-H248</f>
        <v>19470642</v>
      </c>
      <c r="I247" s="52">
        <f>H247/H$245</f>
        <v>0.32131594658264695</v>
      </c>
    </row>
    <row r="248" spans="1:9" s="1" customFormat="1" ht="15">
      <c r="A248" s="1" t="s">
        <v>429</v>
      </c>
      <c r="D248" s="11"/>
      <c r="E248" s="11"/>
      <c r="H248" s="65">
        <f>H80+H81+H78+H67+H208+H238+H241</f>
        <v>41125921</v>
      </c>
      <c r="I248" s="52">
        <f>H248/H$245</f>
        <v>0.678684053417353</v>
      </c>
    </row>
    <row r="249" spans="4:9" s="1" customFormat="1" ht="15">
      <c r="D249" s="11"/>
      <c r="E249" s="11"/>
      <c r="H249" s="39"/>
      <c r="I249" s="52"/>
    </row>
    <row r="250" spans="1:9" ht="14.25">
      <c r="A250" s="2" t="s">
        <v>21</v>
      </c>
      <c r="H250" s="40"/>
      <c r="I250" s="54" t="s">
        <v>22</v>
      </c>
    </row>
    <row r="251" spans="8:9" ht="12.75">
      <c r="H251" s="40"/>
      <c r="I251" s="53"/>
    </row>
    <row r="252" spans="1:11" s="10" customFormat="1" ht="15">
      <c r="A252" s="5" t="s">
        <v>56</v>
      </c>
      <c r="B252" s="5"/>
      <c r="C252" s="5"/>
      <c r="D252" s="12"/>
      <c r="E252" s="12"/>
      <c r="F252" s="5"/>
      <c r="G252" s="5"/>
      <c r="H252" s="43">
        <f>H254+H257+H263+H266+H281+H287+H306+H309+H317+H322+H328+H357+H362+H378+H386+H401+H405</f>
        <v>23590410</v>
      </c>
      <c r="I252" s="55">
        <f>H252/$H$605</f>
        <v>0.3920656727007888</v>
      </c>
      <c r="K252" s="69"/>
    </row>
    <row r="253" spans="1:9" ht="12.75">
      <c r="A253" s="3" t="s">
        <v>15</v>
      </c>
      <c r="H253" s="40"/>
      <c r="I253" s="56"/>
    </row>
    <row r="254" spans="1:11" s="18" customFormat="1" ht="12.75">
      <c r="A254" s="18" t="s">
        <v>100</v>
      </c>
      <c r="B254" s="18" t="s">
        <v>32</v>
      </c>
      <c r="D254" s="19"/>
      <c r="E254" s="19"/>
      <c r="H254" s="41">
        <f>SUM(H255)</f>
        <v>200</v>
      </c>
      <c r="I254" s="56">
        <f>H254/$H$605</f>
        <v>3.323941149821379E-06</v>
      </c>
      <c r="K254" s="35"/>
    </row>
    <row r="255" spans="1:9" ht="12.75">
      <c r="A255" s="3"/>
      <c r="B255" t="s">
        <v>126</v>
      </c>
      <c r="H255" s="40">
        <v>200</v>
      </c>
      <c r="I255" s="57">
        <f>H255/$H$605</f>
        <v>3.323941149821379E-06</v>
      </c>
    </row>
    <row r="256" spans="1:9" ht="12.75">
      <c r="A256" s="3"/>
      <c r="H256" s="40"/>
      <c r="I256" s="56"/>
    </row>
    <row r="257" spans="1:11" s="3" customFormat="1" ht="12.75">
      <c r="A257" s="3" t="s">
        <v>54</v>
      </c>
      <c r="B257" s="3" t="s">
        <v>55</v>
      </c>
      <c r="D257" s="8"/>
      <c r="E257" s="8"/>
      <c r="H257" s="39">
        <f>SUM(H258:H261)</f>
        <v>457864</v>
      </c>
      <c r="I257" s="56">
        <f>H257/$H$605</f>
        <v>0.007609564953109079</v>
      </c>
      <c r="K257" s="34"/>
    </row>
    <row r="258" spans="2:9" ht="12.75">
      <c r="B258" t="s">
        <v>194</v>
      </c>
      <c r="H258" s="42">
        <f>10000+320000+7864</f>
        <v>337864</v>
      </c>
      <c r="I258" s="57">
        <f>H258/$H$605</f>
        <v>0.005615200263216252</v>
      </c>
    </row>
    <row r="259" spans="2:9" ht="12.75">
      <c r="B259" t="s">
        <v>195</v>
      </c>
      <c r="H259" s="42"/>
      <c r="I259" s="57"/>
    </row>
    <row r="260" spans="2:9" ht="12.75">
      <c r="B260" t="s">
        <v>264</v>
      </c>
      <c r="H260" s="42"/>
      <c r="I260" s="57"/>
    </row>
    <row r="261" spans="2:9" ht="12.75">
      <c r="B261" t="s">
        <v>265</v>
      </c>
      <c r="H261" s="42">
        <v>120000</v>
      </c>
      <c r="I261" s="57">
        <f aca="true" t="shared" si="2" ref="I261:I269">H261/$H$605</f>
        <v>0.0019943646898928275</v>
      </c>
    </row>
    <row r="262" spans="8:9" ht="12.75">
      <c r="H262" s="42"/>
      <c r="I262" s="57"/>
    </row>
    <row r="263" spans="1:11" s="3" customFormat="1" ht="12.75">
      <c r="A263" s="3" t="s">
        <v>33</v>
      </c>
      <c r="B263" s="3" t="s">
        <v>57</v>
      </c>
      <c r="D263" s="8"/>
      <c r="E263" s="8"/>
      <c r="H263" s="39">
        <f>SUM(H264:H264)</f>
        <v>350000</v>
      </c>
      <c r="I263" s="56">
        <f t="shared" si="2"/>
        <v>0.005816897012187413</v>
      </c>
      <c r="K263" s="34"/>
    </row>
    <row r="264" spans="2:9" ht="12.75">
      <c r="B264" t="s">
        <v>107</v>
      </c>
      <c r="H264" s="40">
        <v>350000</v>
      </c>
      <c r="I264" s="57">
        <f t="shared" si="2"/>
        <v>0.005816897012187413</v>
      </c>
    </row>
    <row r="265" spans="8:9" ht="12.75">
      <c r="H265" s="40"/>
      <c r="I265" s="57"/>
    </row>
    <row r="266" spans="1:9" s="3" customFormat="1" ht="14.25" customHeight="1">
      <c r="A266" s="3" t="s">
        <v>35</v>
      </c>
      <c r="B266" s="3" t="s">
        <v>25</v>
      </c>
      <c r="D266" s="8"/>
      <c r="E266" s="8"/>
      <c r="H266" s="39">
        <f>SUM(H267:H274)</f>
        <v>1547286</v>
      </c>
      <c r="I266" s="56">
        <f t="shared" si="2"/>
        <v>0.02571543802971261</v>
      </c>
    </row>
    <row r="267" spans="2:11" ht="12.75">
      <c r="B267" t="s">
        <v>435</v>
      </c>
      <c r="H267" s="40"/>
      <c r="I267" s="57"/>
      <c r="K267" s="36"/>
    </row>
    <row r="268" spans="2:9" ht="12.75">
      <c r="B268" t="s">
        <v>110</v>
      </c>
      <c r="H268" s="40">
        <f>108500+10000</f>
        <v>118500</v>
      </c>
      <c r="I268" s="57">
        <f t="shared" si="2"/>
        <v>0.001969435131269167</v>
      </c>
    </row>
    <row r="269" spans="2:9" ht="12.75">
      <c r="B269" t="s">
        <v>436</v>
      </c>
      <c r="H269" s="40">
        <f>SUM(E271:E272)</f>
        <v>355000</v>
      </c>
      <c r="I269" s="57">
        <f t="shared" si="2"/>
        <v>0.005899995540932948</v>
      </c>
    </row>
    <row r="270" spans="2:9" ht="12.75">
      <c r="B270" t="s">
        <v>243</v>
      </c>
      <c r="H270" s="40"/>
      <c r="I270" s="57"/>
    </row>
    <row r="271" spans="2:9" ht="12.75">
      <c r="B271" t="s">
        <v>244</v>
      </c>
      <c r="E271" s="36">
        <v>347000</v>
      </c>
      <c r="H271" s="40"/>
      <c r="I271" s="57"/>
    </row>
    <row r="272" spans="2:9" ht="12.75">
      <c r="B272" t="s">
        <v>434</v>
      </c>
      <c r="E272" s="36">
        <f>5000+3000</f>
        <v>8000</v>
      </c>
      <c r="H272" s="40"/>
      <c r="I272" s="57"/>
    </row>
    <row r="273" spans="5:9" ht="12.75">
      <c r="E273" s="36"/>
      <c r="H273" s="40"/>
      <c r="I273" s="57"/>
    </row>
    <row r="274" spans="2:9" ht="12.75">
      <c r="B274" t="s">
        <v>437</v>
      </c>
      <c r="H274" s="40">
        <f>SUM(F276:F279)</f>
        <v>1073786</v>
      </c>
      <c r="I274" s="57">
        <f>H274/$H$605</f>
        <v>0.017846007357510497</v>
      </c>
    </row>
    <row r="275" spans="2:9" ht="12.75">
      <c r="B275" t="s">
        <v>19</v>
      </c>
      <c r="H275" s="40"/>
      <c r="I275" s="57"/>
    </row>
    <row r="276" spans="2:9" ht="12.75">
      <c r="B276" t="s">
        <v>245</v>
      </c>
      <c r="F276" s="36">
        <f>6396+4000</f>
        <v>10396</v>
      </c>
      <c r="H276" s="40"/>
      <c r="I276" s="57"/>
    </row>
    <row r="277" spans="2:9" ht="15" customHeight="1">
      <c r="B277" s="48" t="s">
        <v>247</v>
      </c>
      <c r="F277" s="36"/>
      <c r="H277" s="40"/>
      <c r="I277" s="57"/>
    </row>
    <row r="278" spans="2:9" ht="15" customHeight="1">
      <c r="B278" t="s">
        <v>246</v>
      </c>
      <c r="F278" s="36">
        <v>913390</v>
      </c>
      <c r="H278" s="40"/>
      <c r="I278" s="57"/>
    </row>
    <row r="279" spans="2:9" ht="15" customHeight="1">
      <c r="B279" t="s">
        <v>248</v>
      </c>
      <c r="F279" s="36">
        <v>150000</v>
      </c>
      <c r="H279" s="40"/>
      <c r="I279" s="57"/>
    </row>
    <row r="280" spans="6:9" ht="15" customHeight="1">
      <c r="F280" s="4"/>
      <c r="H280" s="40"/>
      <c r="I280" s="57"/>
    </row>
    <row r="281" spans="1:11" s="18" customFormat="1" ht="12.75">
      <c r="A281" s="18" t="s">
        <v>58</v>
      </c>
      <c r="B281" s="18" t="s">
        <v>59</v>
      </c>
      <c r="D281" s="19"/>
      <c r="E281" s="19"/>
      <c r="H281" s="41">
        <f>SUM(H282:H285)</f>
        <v>428360</v>
      </c>
      <c r="I281" s="56">
        <f>H281/$H$605</f>
        <v>0.007119217154687429</v>
      </c>
      <c r="K281" s="35"/>
    </row>
    <row r="282" spans="2:9" ht="12.75">
      <c r="B282" t="s">
        <v>60</v>
      </c>
      <c r="H282" s="40">
        <f>354500+15860</f>
        <v>370360</v>
      </c>
      <c r="I282" s="57">
        <f>H282/$H$605</f>
        <v>0.00615527422123923</v>
      </c>
    </row>
    <row r="283" spans="2:9" ht="12.75">
      <c r="B283" t="s">
        <v>127</v>
      </c>
      <c r="H283" s="40"/>
      <c r="I283" s="57"/>
    </row>
    <row r="284" spans="2:9" ht="12.75">
      <c r="B284" t="s">
        <v>61</v>
      </c>
      <c r="H284" s="40"/>
      <c r="I284" s="57"/>
    </row>
    <row r="285" spans="2:9" ht="12.75">
      <c r="B285" t="s">
        <v>62</v>
      </c>
      <c r="H285" s="40">
        <v>58000</v>
      </c>
      <c r="I285" s="57">
        <f>H285/$H$605</f>
        <v>0.0009639429334481999</v>
      </c>
    </row>
    <row r="286" spans="8:9" ht="12.75">
      <c r="H286" s="40"/>
      <c r="I286" s="57"/>
    </row>
    <row r="287" spans="1:13" s="3" customFormat="1" ht="12.75">
      <c r="A287" s="3" t="s">
        <v>39</v>
      </c>
      <c r="B287" s="3" t="s">
        <v>63</v>
      </c>
      <c r="D287" s="8"/>
      <c r="E287" s="8"/>
      <c r="H287" s="39">
        <f>SUM(H288:H304)</f>
        <v>5314979.65</v>
      </c>
      <c r="I287" s="57">
        <f>H287/$H$605</f>
        <v>0.08833339784549116</v>
      </c>
      <c r="K287" s="34"/>
      <c r="M287" s="34"/>
    </row>
    <row r="288" spans="2:9" ht="12.75">
      <c r="B288" t="s">
        <v>29</v>
      </c>
      <c r="H288" s="40">
        <v>231001</v>
      </c>
      <c r="I288" s="57">
        <f>H288/$H$605</f>
        <v>0.0038391686477494418</v>
      </c>
    </row>
    <row r="289" spans="2:9" ht="12.75">
      <c r="B289" t="s">
        <v>128</v>
      </c>
      <c r="H289" s="40">
        <v>151000</v>
      </c>
      <c r="I289" s="57">
        <f>H289/$H$605</f>
        <v>0.002509575568115141</v>
      </c>
    </row>
    <row r="290" spans="2:9" ht="12.75">
      <c r="B290" t="s">
        <v>129</v>
      </c>
      <c r="H290" s="40">
        <f>4126328.65-188500-69700+600000</f>
        <v>4468128.65</v>
      </c>
      <c r="I290" s="57">
        <f>H290/$H$605</f>
        <v>0.07425898341215423</v>
      </c>
    </row>
    <row r="291" spans="2:9" ht="12.75">
      <c r="B291" t="s">
        <v>130</v>
      </c>
      <c r="H291" s="40">
        <v>600</v>
      </c>
      <c r="I291" s="57">
        <f>H291/$H$605</f>
        <v>9.971823449464137E-06</v>
      </c>
    </row>
    <row r="292" spans="2:9" ht="12.75">
      <c r="B292" t="s">
        <v>474</v>
      </c>
      <c r="H292" s="40"/>
      <c r="I292" s="57"/>
    </row>
    <row r="293" spans="2:9" ht="12.75">
      <c r="B293" t="s">
        <v>481</v>
      </c>
      <c r="H293" s="40">
        <v>1920</v>
      </c>
      <c r="I293" s="57">
        <f>H293/$H$605</f>
        <v>3.190983503828524E-05</v>
      </c>
    </row>
    <row r="294" spans="2:9" ht="12.75">
      <c r="B294" t="s">
        <v>475</v>
      </c>
      <c r="H294" s="40">
        <f>93500+10576+4657</f>
        <v>108733</v>
      </c>
      <c r="I294" s="57">
        <f>H294/$H$605</f>
        <v>0.00180711046521764</v>
      </c>
    </row>
    <row r="295" spans="2:9" ht="12.75">
      <c r="B295" t="s">
        <v>476</v>
      </c>
      <c r="H295" s="40">
        <v>26000</v>
      </c>
      <c r="I295" s="57">
        <f>H295/$H$605</f>
        <v>0.00043211234947677923</v>
      </c>
    </row>
    <row r="296" spans="2:9" ht="12.75">
      <c r="B296" t="s">
        <v>477</v>
      </c>
      <c r="H296" s="40">
        <f>58000+10000+3000+4500+200</f>
        <v>75700</v>
      </c>
      <c r="I296" s="57">
        <f>H296/$H$605</f>
        <v>0.0012581117252073919</v>
      </c>
    </row>
    <row r="297" spans="2:9" ht="12.75">
      <c r="B297" t="s">
        <v>478</v>
      </c>
      <c r="H297" s="40"/>
      <c r="I297" s="57"/>
    </row>
    <row r="298" spans="2:9" ht="12.75">
      <c r="B298" t="s">
        <v>231</v>
      </c>
      <c r="H298" s="40">
        <v>234065</v>
      </c>
      <c r="I298" s="57">
        <f aca="true" t="shared" si="3" ref="I298:I304">H298/$H$605</f>
        <v>0.003890091426164705</v>
      </c>
    </row>
    <row r="299" spans="2:9" ht="12.75">
      <c r="B299" t="s">
        <v>28</v>
      </c>
      <c r="H299" s="40">
        <v>3000</v>
      </c>
      <c r="I299" s="57">
        <f t="shared" si="3"/>
        <v>4.985911724732068E-05</v>
      </c>
    </row>
    <row r="300" spans="2:9" ht="12.75">
      <c r="B300" t="s">
        <v>108</v>
      </c>
      <c r="H300" s="40">
        <v>3900</v>
      </c>
      <c r="I300" s="57">
        <f t="shared" si="3"/>
        <v>6.481685242151689E-05</v>
      </c>
    </row>
    <row r="301" spans="2:9" ht="12.75">
      <c r="B301" t="s">
        <v>438</v>
      </c>
      <c r="H301" s="40">
        <v>6600</v>
      </c>
      <c r="I301" s="57">
        <f t="shared" si="3"/>
        <v>0.0001096900579441055</v>
      </c>
    </row>
    <row r="302" spans="2:9" ht="12.75">
      <c r="B302" t="s">
        <v>213</v>
      </c>
      <c r="H302" s="40">
        <v>1100</v>
      </c>
      <c r="I302" s="57">
        <f t="shared" si="3"/>
        <v>1.8281676324017583E-05</v>
      </c>
    </row>
    <row r="303" spans="2:9" ht="12.75">
      <c r="B303" t="s">
        <v>479</v>
      </c>
      <c r="H303" s="40">
        <v>732</v>
      </c>
      <c r="I303" s="57">
        <f t="shared" si="3"/>
        <v>1.2165624608346247E-05</v>
      </c>
    </row>
    <row r="304" spans="2:9" ht="12.75">
      <c r="B304" t="s">
        <v>480</v>
      </c>
      <c r="H304" s="40">
        <v>2500</v>
      </c>
      <c r="I304" s="57">
        <f t="shared" si="3"/>
        <v>4.1549264372767234E-05</v>
      </c>
    </row>
    <row r="305" spans="8:9" ht="12.75">
      <c r="H305" s="40"/>
      <c r="I305" s="57"/>
    </row>
    <row r="306" spans="1:9" s="3" customFormat="1" ht="12.75">
      <c r="A306" s="3" t="s">
        <v>41</v>
      </c>
      <c r="B306" s="3" t="s">
        <v>64</v>
      </c>
      <c r="D306" s="8"/>
      <c r="E306" s="8"/>
      <c r="H306" s="39">
        <f>SUM(H307:H307)</f>
        <v>1140</v>
      </c>
      <c r="I306" s="56">
        <f>H306/$H$605</f>
        <v>1.894646455398186E-05</v>
      </c>
    </row>
    <row r="307" spans="2:9" ht="12.75">
      <c r="B307" t="s">
        <v>101</v>
      </c>
      <c r="H307" s="40">
        <v>1140</v>
      </c>
      <c r="I307" s="57">
        <f>H307/$H$605</f>
        <v>1.894646455398186E-05</v>
      </c>
    </row>
    <row r="308" spans="8:9" ht="12.75">
      <c r="H308" s="40"/>
      <c r="I308" s="57"/>
    </row>
    <row r="309" spans="1:9" s="18" customFormat="1" ht="12.75">
      <c r="A309" s="18" t="s">
        <v>43</v>
      </c>
      <c r="B309" s="21" t="s">
        <v>65</v>
      </c>
      <c r="D309" s="19"/>
      <c r="E309" s="19"/>
      <c r="H309" s="41">
        <f>SUM(H310:H315)</f>
        <v>609650</v>
      </c>
      <c r="I309" s="56">
        <f>H309/$H$605</f>
        <v>0.010132203609943017</v>
      </c>
    </row>
    <row r="310" spans="2:9" ht="12.75">
      <c r="B310" t="s">
        <v>439</v>
      </c>
      <c r="H310" s="40"/>
      <c r="I310" s="57"/>
    </row>
    <row r="311" spans="2:9" ht="12.75">
      <c r="B311" t="s">
        <v>440</v>
      </c>
      <c r="H311" s="40">
        <v>60000</v>
      </c>
      <c r="I311" s="57">
        <f>H311/$H$605</f>
        <v>0.0009971823449464138</v>
      </c>
    </row>
    <row r="312" spans="2:9" ht="12.75">
      <c r="B312" t="s">
        <v>445</v>
      </c>
      <c r="H312" s="40">
        <f>194100-37000-30000</f>
        <v>127100</v>
      </c>
      <c r="I312" s="57">
        <f>H312/$H$605</f>
        <v>0.0021123646007114865</v>
      </c>
    </row>
    <row r="313" spans="2:9" ht="12.75">
      <c r="B313" t="s">
        <v>446</v>
      </c>
      <c r="H313" s="40">
        <v>3850</v>
      </c>
      <c r="I313" s="57">
        <f>H313/$H$605</f>
        <v>6.398586713406154E-05</v>
      </c>
    </row>
    <row r="314" spans="2:9" ht="12.75">
      <c r="B314" t="s">
        <v>447</v>
      </c>
      <c r="H314" s="40">
        <f>421700-6000</f>
        <v>415700</v>
      </c>
      <c r="I314" s="57">
        <f>H314/$H$605</f>
        <v>0.006908811679903736</v>
      </c>
    </row>
    <row r="315" spans="2:9" ht="12.75">
      <c r="B315" t="s">
        <v>448</v>
      </c>
      <c r="H315" s="40">
        <v>3000</v>
      </c>
      <c r="I315" s="57">
        <f>H315/$H$605</f>
        <v>4.985911724732068E-05</v>
      </c>
    </row>
    <row r="316" spans="8:9" ht="12.75">
      <c r="H316" s="40"/>
      <c r="I316" s="57"/>
    </row>
    <row r="317" spans="1:9" s="18" customFormat="1" ht="12.75">
      <c r="A317" s="18" t="s">
        <v>66</v>
      </c>
      <c r="B317" s="18" t="s">
        <v>67</v>
      </c>
      <c r="D317" s="19"/>
      <c r="E317" s="19"/>
      <c r="H317" s="41">
        <f>SUM(H318:H320)</f>
        <v>238000</v>
      </c>
      <c r="I317" s="56">
        <f>H317/$H$605</f>
        <v>0.003955489968287441</v>
      </c>
    </row>
    <row r="318" spans="2:9" ht="12.75">
      <c r="B318" t="s">
        <v>249</v>
      </c>
      <c r="H318" s="40">
        <v>2000</v>
      </c>
      <c r="I318" s="57">
        <f>H318/$H$605</f>
        <v>3.323941149821379E-05</v>
      </c>
    </row>
    <row r="319" spans="2:9" ht="12.75">
      <c r="B319" t="s">
        <v>441</v>
      </c>
      <c r="H319" s="40">
        <f>201000+8000</f>
        <v>209000</v>
      </c>
      <c r="I319" s="57">
        <f>H319/$H$605</f>
        <v>0.003473518501563341</v>
      </c>
    </row>
    <row r="320" spans="2:9" ht="12.75">
      <c r="B320" t="s">
        <v>442</v>
      </c>
      <c r="H320" s="40">
        <v>27000</v>
      </c>
      <c r="I320" s="57">
        <f>H320/$H$605</f>
        <v>0.0004487320552258862</v>
      </c>
    </row>
    <row r="321" spans="8:9" ht="12.75">
      <c r="H321" s="40"/>
      <c r="I321" s="57"/>
    </row>
    <row r="322" spans="1:9" s="18" customFormat="1" ht="12.75">
      <c r="A322" s="18" t="s">
        <v>48</v>
      </c>
      <c r="B322" s="18" t="s">
        <v>68</v>
      </c>
      <c r="D322" s="19"/>
      <c r="E322" s="19"/>
      <c r="H322" s="41">
        <f>SUM(H324:H326)</f>
        <v>218458.35</v>
      </c>
      <c r="I322" s="56">
        <f>H322/$H$605</f>
        <v>0.003630713495435406</v>
      </c>
    </row>
    <row r="323" spans="1:9" s="47" customFormat="1" ht="12.75">
      <c r="A323" s="6"/>
      <c r="B323" s="59" t="s">
        <v>253</v>
      </c>
      <c r="C323" s="6"/>
      <c r="D323" s="9"/>
      <c r="E323" s="9"/>
      <c r="F323" s="6"/>
      <c r="G323" s="6"/>
      <c r="H323" s="42">
        <v>0</v>
      </c>
      <c r="I323" s="57">
        <f>H323/$H$605</f>
        <v>0</v>
      </c>
    </row>
    <row r="324" spans="2:9" ht="12.75">
      <c r="B324" t="s">
        <v>254</v>
      </c>
      <c r="H324" s="40">
        <v>200000</v>
      </c>
      <c r="I324" s="57">
        <f>H324/$H$605</f>
        <v>0.003323941149821379</v>
      </c>
    </row>
    <row r="325" spans="2:9" ht="12.75">
      <c r="B325" t="s">
        <v>443</v>
      </c>
      <c r="H325" s="40"/>
      <c r="I325" s="57"/>
    </row>
    <row r="326" spans="2:9" ht="12.75">
      <c r="B326" t="s">
        <v>444</v>
      </c>
      <c r="H326" s="40">
        <v>18458.35</v>
      </c>
      <c r="I326" s="57">
        <f>H326/$H$605</f>
        <v>0.0003067723456140272</v>
      </c>
    </row>
    <row r="327" spans="8:9" ht="12.75">
      <c r="H327" s="40"/>
      <c r="I327" s="57"/>
    </row>
    <row r="328" spans="1:9" s="3" customFormat="1" ht="12.75">
      <c r="A328" s="3" t="s">
        <v>50</v>
      </c>
      <c r="B328" s="3" t="s">
        <v>4</v>
      </c>
      <c r="D328" s="8"/>
      <c r="E328" s="8"/>
      <c r="H328" s="39">
        <f>SUM(H329:H355)</f>
        <v>7240775</v>
      </c>
      <c r="I328" s="70">
        <f>SUM(I329:I355)</f>
        <v>0.12033954989548948</v>
      </c>
    </row>
    <row r="329" spans="2:9" s="6" customFormat="1" ht="12.75">
      <c r="B329" s="17" t="s">
        <v>573</v>
      </c>
      <c r="D329" s="9"/>
      <c r="E329" s="9"/>
      <c r="F329" s="9"/>
      <c r="G329" s="22"/>
      <c r="H329" s="42"/>
      <c r="I329" s="57"/>
    </row>
    <row r="330" spans="2:9" s="6" customFormat="1" ht="12.75">
      <c r="B330" s="17" t="s">
        <v>574</v>
      </c>
      <c r="D330" s="9"/>
      <c r="E330" s="9"/>
      <c r="F330" s="9"/>
      <c r="G330" s="22"/>
      <c r="H330" s="42">
        <f>8000+15360+1489000+101000+267200+38000+11600+23000+128000+24000+133000+15000+2000+124100+10200+3000+2000+3200+75200+5000+2000+20000</f>
        <v>2499860</v>
      </c>
      <c r="I330" s="57">
        <f aca="true" t="shared" si="4" ref="I328:I337">H330/$H$605</f>
        <v>0.04154693761396236</v>
      </c>
    </row>
    <row r="331" spans="2:9" s="6" customFormat="1" ht="12.75">
      <c r="B331" s="6" t="s">
        <v>449</v>
      </c>
      <c r="D331" s="9"/>
      <c r="E331" s="9"/>
      <c r="H331" s="42">
        <f>34200+2000+438765+34830+77960+12360+14000+48000+3000+12400+11500+1850+28100+1000+3700+3200+2000+2100+26700+2500+1600</f>
        <v>761765</v>
      </c>
      <c r="I331" s="57">
        <f t="shared" si="4"/>
        <v>0.012660310149968414</v>
      </c>
    </row>
    <row r="332" spans="2:9" s="6" customFormat="1" ht="12.75">
      <c r="B332" s="6" t="s">
        <v>214</v>
      </c>
      <c r="D332" s="9"/>
      <c r="E332" s="9"/>
      <c r="H332" s="42">
        <v>41915</v>
      </c>
      <c r="I332" s="57">
        <f t="shared" si="4"/>
        <v>0.0006966149664738155</v>
      </c>
    </row>
    <row r="333" spans="2:9" s="6" customFormat="1" ht="12.75">
      <c r="B333" s="6" t="s">
        <v>450</v>
      </c>
      <c r="D333" s="9"/>
      <c r="E333" s="9"/>
      <c r="H333" s="42">
        <v>1352717</v>
      </c>
      <c r="I333" s="57">
        <f t="shared" si="4"/>
        <v>0.022481758501814633</v>
      </c>
    </row>
    <row r="334" spans="2:9" s="6" customFormat="1" ht="12.75">
      <c r="B334" s="6" t="s">
        <v>580</v>
      </c>
      <c r="D334" s="9"/>
      <c r="E334" s="9"/>
      <c r="H334" s="42">
        <f>1926800-27000</f>
        <v>1899800</v>
      </c>
      <c r="I334" s="57">
        <f t="shared" si="4"/>
        <v>0.031574116982153275</v>
      </c>
    </row>
    <row r="335" spans="2:9" s="6" customFormat="1" ht="12.75">
      <c r="B335" s="6" t="s">
        <v>451</v>
      </c>
      <c r="D335" s="9"/>
      <c r="E335" s="9"/>
      <c r="H335" s="42">
        <v>92450</v>
      </c>
      <c r="I335" s="57">
        <f t="shared" si="4"/>
        <v>0.0015364917965049324</v>
      </c>
    </row>
    <row r="336" spans="2:9" s="6" customFormat="1" ht="12.75">
      <c r="B336" s="6" t="s">
        <v>452</v>
      </c>
      <c r="D336" s="9"/>
      <c r="E336" s="9"/>
      <c r="H336" s="42">
        <v>28018</v>
      </c>
      <c r="I336" s="57">
        <f t="shared" si="4"/>
        <v>0.00046565091567847696</v>
      </c>
    </row>
    <row r="337" spans="2:9" s="6" customFormat="1" ht="12.75">
      <c r="B337" s="6" t="s">
        <v>453</v>
      </c>
      <c r="D337" s="9"/>
      <c r="E337" s="9"/>
      <c r="H337" s="42">
        <v>431540</v>
      </c>
      <c r="I337" s="57">
        <f t="shared" si="4"/>
        <v>0.007172067818969589</v>
      </c>
    </row>
    <row r="338" spans="2:9" s="6" customFormat="1" ht="12.75">
      <c r="B338" t="s">
        <v>13</v>
      </c>
      <c r="C338"/>
      <c r="D338" s="9"/>
      <c r="E338" s="9"/>
      <c r="H338" s="42"/>
      <c r="I338" s="57"/>
    </row>
    <row r="339" spans="2:9" s="6" customFormat="1" ht="12.75">
      <c r="B339" t="s">
        <v>105</v>
      </c>
      <c r="C339"/>
      <c r="D339" s="9">
        <f>1000+74000+5600+13100+1900+7000+82500+10200+5000+2400</f>
        <v>202700</v>
      </c>
      <c r="E339" s="9"/>
      <c r="H339" s="42"/>
      <c r="I339" s="57"/>
    </row>
    <row r="340" spans="2:9" s="6" customFormat="1" ht="12.75">
      <c r="B340" t="s">
        <v>11</v>
      </c>
      <c r="C340"/>
      <c r="D340" s="9">
        <f>200+35420+1800+4280+680+570+27540+1100+400+400+1050</f>
        <v>73440</v>
      </c>
      <c r="E340" s="9"/>
      <c r="H340" s="42"/>
      <c r="I340" s="57"/>
    </row>
    <row r="341" spans="2:9" s="6" customFormat="1" ht="12.75">
      <c r="B341" t="s">
        <v>12</v>
      </c>
      <c r="C341"/>
      <c r="D341" s="9">
        <f>54700+4600+10200+1400+2200+77700+2200+2400</f>
        <v>155400</v>
      </c>
      <c r="E341" s="9"/>
      <c r="H341" s="42"/>
      <c r="I341" s="57"/>
    </row>
    <row r="342" spans="2:9" s="6" customFormat="1" ht="12.75">
      <c r="B342" t="s">
        <v>459</v>
      </c>
      <c r="C342"/>
      <c r="D342" s="9"/>
      <c r="E342" s="9"/>
      <c r="H342" s="42"/>
      <c r="I342" s="57"/>
    </row>
    <row r="343" spans="2:9" s="6" customFormat="1" ht="12.75">
      <c r="B343" t="s">
        <v>457</v>
      </c>
      <c r="C343"/>
      <c r="D343" s="9"/>
      <c r="E343" s="9"/>
      <c r="H343" s="42"/>
      <c r="I343" s="57"/>
    </row>
    <row r="344" spans="2:9" s="6" customFormat="1" ht="12.75">
      <c r="B344" t="s">
        <v>454</v>
      </c>
      <c r="C344"/>
      <c r="D344" s="9"/>
      <c r="E344" s="9"/>
      <c r="H344" s="42"/>
      <c r="I344" s="57"/>
    </row>
    <row r="345" spans="2:9" s="6" customFormat="1" ht="12.75">
      <c r="B345" t="s">
        <v>455</v>
      </c>
      <c r="C345"/>
      <c r="D345" s="9"/>
      <c r="E345" s="9"/>
      <c r="H345" s="42"/>
      <c r="I345" s="57"/>
    </row>
    <row r="346" spans="2:9" s="6" customFormat="1" ht="12.75">
      <c r="B346" t="s">
        <v>456</v>
      </c>
      <c r="C346"/>
      <c r="D346" s="9"/>
      <c r="E346" s="9"/>
      <c r="H346" s="42"/>
      <c r="I346" s="57"/>
    </row>
    <row r="347" spans="2:9" s="6" customFormat="1" ht="12.75">
      <c r="B347" t="s">
        <v>458</v>
      </c>
      <c r="C347"/>
      <c r="D347" s="9"/>
      <c r="E347" s="9"/>
      <c r="H347" s="42"/>
      <c r="I347" s="57"/>
    </row>
    <row r="348" spans="2:9" s="6" customFormat="1" ht="12.75">
      <c r="B348" s="6" t="s">
        <v>575</v>
      </c>
      <c r="D348" s="9"/>
      <c r="E348" s="9"/>
      <c r="H348" s="42">
        <v>8700</v>
      </c>
      <c r="I348" s="57">
        <f>H348/$H$605</f>
        <v>0.00014459144001723</v>
      </c>
    </row>
    <row r="349" spans="2:9" s="6" customFormat="1" ht="12.75">
      <c r="B349" s="6" t="s">
        <v>576</v>
      </c>
      <c r="D349" s="9"/>
      <c r="E349" s="9"/>
      <c r="H349" s="42">
        <v>16300</v>
      </c>
      <c r="I349" s="57">
        <f>H349/$H$605</f>
        <v>0.0002709012037104424</v>
      </c>
    </row>
    <row r="350" spans="2:9" s="6" customFormat="1" ht="12.75">
      <c r="B350" s="6" t="s">
        <v>577</v>
      </c>
      <c r="D350" s="9"/>
      <c r="E350" s="9"/>
      <c r="H350" s="42"/>
      <c r="I350" s="57"/>
    </row>
    <row r="351" spans="2:9" s="6" customFormat="1" ht="12.75">
      <c r="B351" s="6" t="s">
        <v>109</v>
      </c>
      <c r="D351" s="9"/>
      <c r="E351" s="9"/>
      <c r="H351" s="42">
        <v>2400</v>
      </c>
      <c r="I351" s="57">
        <f>H351/$H$605</f>
        <v>3.9887293797856546E-05</v>
      </c>
    </row>
    <row r="352" spans="2:9" s="6" customFormat="1" ht="12.75">
      <c r="B352" s="6" t="s">
        <v>578</v>
      </c>
      <c r="D352" s="9"/>
      <c r="E352" s="9"/>
      <c r="H352" s="42"/>
      <c r="I352" s="57"/>
    </row>
    <row r="353" spans="2:9" s="6" customFormat="1" ht="12.75">
      <c r="B353" s="6" t="s">
        <v>460</v>
      </c>
      <c r="D353" s="9"/>
      <c r="E353" s="9"/>
      <c r="H353" s="42">
        <v>60000</v>
      </c>
      <c r="I353" s="57">
        <f>H353/$H$605</f>
        <v>0.0009971823449464138</v>
      </c>
    </row>
    <row r="354" spans="2:9" s="6" customFormat="1" ht="12.75">
      <c r="B354" s="6" t="s">
        <v>579</v>
      </c>
      <c r="D354" s="9"/>
      <c r="E354" s="9"/>
      <c r="H354" s="42"/>
      <c r="I354" s="57"/>
    </row>
    <row r="355" spans="2:9" s="6" customFormat="1" ht="12.75">
      <c r="B355" s="6" t="s">
        <v>182</v>
      </c>
      <c r="D355" s="9"/>
      <c r="E355" s="9"/>
      <c r="H355" s="42">
        <v>45310</v>
      </c>
      <c r="I355" s="57">
        <f>H355/$H$605</f>
        <v>0.0007530388674920334</v>
      </c>
    </row>
    <row r="356" spans="4:9" s="6" customFormat="1" ht="12.75">
      <c r="D356" s="9"/>
      <c r="E356" s="9"/>
      <c r="H356" s="42"/>
      <c r="I356" s="57"/>
    </row>
    <row r="357" spans="1:9" s="18" customFormat="1" ht="12.75">
      <c r="A357" s="18" t="s">
        <v>69</v>
      </c>
      <c r="B357" s="18" t="s">
        <v>26</v>
      </c>
      <c r="D357" s="19"/>
      <c r="E357" s="19"/>
      <c r="H357" s="41">
        <f>SUM(H358:H360)</f>
        <v>370000</v>
      </c>
      <c r="I357" s="56">
        <f>H357/$H$605</f>
        <v>0.006149291127169551</v>
      </c>
    </row>
    <row r="358" spans="2:9" s="17" customFormat="1" ht="12.75">
      <c r="B358" s="17" t="s">
        <v>232</v>
      </c>
      <c r="D358" s="22"/>
      <c r="E358" s="22"/>
      <c r="H358" s="38">
        <v>25000</v>
      </c>
      <c r="I358" s="57">
        <f>H358/$H$605</f>
        <v>0.00041549264372767235</v>
      </c>
    </row>
    <row r="359" spans="2:9" ht="12.75">
      <c r="B359" t="s">
        <v>233</v>
      </c>
      <c r="H359" s="40"/>
      <c r="I359" s="57"/>
    </row>
    <row r="360" spans="2:9" ht="12.75">
      <c r="B360" t="s">
        <v>196</v>
      </c>
      <c r="H360" s="40">
        <f>250000+95000</f>
        <v>345000</v>
      </c>
      <c r="I360" s="57">
        <f>H360/$H$605</f>
        <v>0.0057337984834418786</v>
      </c>
    </row>
    <row r="361" spans="8:9" ht="12.75">
      <c r="H361" s="40"/>
      <c r="I361" s="57"/>
    </row>
    <row r="362" spans="1:9" s="3" customFormat="1" ht="12.75">
      <c r="A362" s="3" t="s">
        <v>151</v>
      </c>
      <c r="B362" s="3" t="s">
        <v>153</v>
      </c>
      <c r="D362" s="8"/>
      <c r="E362" s="8"/>
      <c r="H362" s="39">
        <f>SUM(H363:H376)</f>
        <v>2990360</v>
      </c>
      <c r="I362" s="56">
        <f>H362/$H$605</f>
        <v>0.049698903283899296</v>
      </c>
    </row>
    <row r="363" spans="2:9" s="17" customFormat="1" ht="12.75">
      <c r="B363" s="17" t="s">
        <v>235</v>
      </c>
      <c r="D363" s="22"/>
      <c r="E363" s="22"/>
      <c r="H363" s="38"/>
      <c r="I363" s="57"/>
    </row>
    <row r="364" spans="2:9" s="17" customFormat="1" ht="12.75">
      <c r="B364" s="17" t="s">
        <v>234</v>
      </c>
      <c r="D364" s="22"/>
      <c r="E364" s="22"/>
      <c r="H364" s="38"/>
      <c r="I364" s="57"/>
    </row>
    <row r="365" spans="2:9" s="17" customFormat="1" ht="12.75">
      <c r="B365" s="17" t="s">
        <v>236</v>
      </c>
      <c r="D365" s="22"/>
      <c r="E365" s="22"/>
      <c r="H365" s="38">
        <v>1209920</v>
      </c>
      <c r="I365" s="57">
        <f aca="true" t="shared" si="5" ref="I365:I383">H365/$H$605</f>
        <v>0.020108514379959412</v>
      </c>
    </row>
    <row r="366" spans="2:9" s="17" customFormat="1" ht="12.75">
      <c r="B366" s="17" t="s">
        <v>183</v>
      </c>
      <c r="D366" s="22"/>
      <c r="E366" s="22"/>
      <c r="H366" s="38">
        <v>13000</v>
      </c>
      <c r="I366" s="57">
        <f t="shared" si="5"/>
        <v>0.00021605617473838962</v>
      </c>
    </row>
    <row r="367" spans="2:9" ht="12.75">
      <c r="B367" t="s">
        <v>184</v>
      </c>
      <c r="H367" s="40">
        <f>134000+1000</f>
        <v>135000</v>
      </c>
      <c r="I367" s="57">
        <f t="shared" si="5"/>
        <v>0.0022436602761294307</v>
      </c>
    </row>
    <row r="368" spans="2:9" ht="12.75">
      <c r="B368" t="s">
        <v>185</v>
      </c>
      <c r="H368" s="40">
        <v>150000</v>
      </c>
      <c r="I368" s="57">
        <f t="shared" si="5"/>
        <v>0.0024929558623660343</v>
      </c>
    </row>
    <row r="369" spans="2:9" ht="12.75">
      <c r="B369" t="s">
        <v>215</v>
      </c>
      <c r="H369" s="40">
        <v>162000</v>
      </c>
      <c r="I369" s="57">
        <f t="shared" si="5"/>
        <v>0.002692392331355317</v>
      </c>
    </row>
    <row r="370" spans="2:9" ht="12.75">
      <c r="B370" t="s">
        <v>461</v>
      </c>
      <c r="H370" s="40">
        <v>50000</v>
      </c>
      <c r="I370" s="57">
        <f t="shared" si="5"/>
        <v>0.0008309852874553447</v>
      </c>
    </row>
    <row r="371" spans="2:9" ht="12.75">
      <c r="B371" t="s">
        <v>186</v>
      </c>
      <c r="H371" s="40">
        <v>200000</v>
      </c>
      <c r="I371" s="57">
        <f t="shared" si="5"/>
        <v>0.003323941149821379</v>
      </c>
    </row>
    <row r="372" spans="2:9" ht="12.75">
      <c r="B372" t="s">
        <v>187</v>
      </c>
      <c r="H372" s="40">
        <v>625590</v>
      </c>
      <c r="I372" s="57">
        <f t="shared" si="5"/>
        <v>0.010397121719583782</v>
      </c>
    </row>
    <row r="373" spans="2:14" ht="12.75">
      <c r="B373" t="s">
        <v>463</v>
      </c>
      <c r="H373" s="40">
        <v>289650</v>
      </c>
      <c r="I373" s="57">
        <f t="shared" si="5"/>
        <v>0.004813897770228812</v>
      </c>
      <c r="M373" s="4"/>
      <c r="N373" s="4"/>
    </row>
    <row r="374" spans="2:14" ht="12.75">
      <c r="B374" t="s">
        <v>462</v>
      </c>
      <c r="H374" s="40"/>
      <c r="I374" s="57"/>
      <c r="M374" s="4"/>
      <c r="N374" s="4"/>
    </row>
    <row r="375" spans="2:9" ht="12.75">
      <c r="B375" t="s">
        <v>216</v>
      </c>
      <c r="H375" s="40">
        <f>56000+80000</f>
        <v>136000</v>
      </c>
      <c r="I375" s="57">
        <f t="shared" si="5"/>
        <v>0.0022602799818785377</v>
      </c>
    </row>
    <row r="376" spans="2:9" ht="12.75">
      <c r="B376" t="s">
        <v>267</v>
      </c>
      <c r="H376" s="40">
        <v>19200</v>
      </c>
      <c r="I376" s="57">
        <f t="shared" si="5"/>
        <v>0.00031909835038285237</v>
      </c>
    </row>
    <row r="377" spans="8:9" ht="12.75">
      <c r="H377" s="40"/>
      <c r="I377" s="57"/>
    </row>
    <row r="378" spans="1:9" s="18" customFormat="1" ht="12.75">
      <c r="A378" s="18" t="s">
        <v>51</v>
      </c>
      <c r="B378" s="18" t="s">
        <v>52</v>
      </c>
      <c r="D378" s="19"/>
      <c r="E378" s="19"/>
      <c r="H378" s="41">
        <f>SUM(H379:H383)</f>
        <v>254737</v>
      </c>
      <c r="I378" s="56">
        <f t="shared" si="5"/>
        <v>0.0042336539834102425</v>
      </c>
    </row>
    <row r="379" spans="2:9" s="17" customFormat="1" ht="12.75">
      <c r="B379" s="17" t="s">
        <v>70</v>
      </c>
      <c r="D379" s="22"/>
      <c r="E379" s="22"/>
      <c r="H379" s="38">
        <v>183275</v>
      </c>
      <c r="I379" s="57">
        <f t="shared" si="5"/>
        <v>0.003045976571167566</v>
      </c>
    </row>
    <row r="380" spans="2:9" s="17" customFormat="1" ht="12.75">
      <c r="B380" s="17" t="s">
        <v>217</v>
      </c>
      <c r="D380" s="22"/>
      <c r="E380" s="22"/>
      <c r="H380" s="38">
        <f>1200+4800+1500</f>
        <v>7500</v>
      </c>
      <c r="I380" s="57">
        <f t="shared" si="5"/>
        <v>0.00012464779311830172</v>
      </c>
    </row>
    <row r="381" spans="2:9" s="17" customFormat="1" ht="12.75">
      <c r="B381" s="17" t="s">
        <v>218</v>
      </c>
      <c r="D381" s="22"/>
      <c r="E381" s="22"/>
      <c r="H381" s="38">
        <v>62000</v>
      </c>
      <c r="I381" s="57">
        <f t="shared" si="5"/>
        <v>0.0010304217564446275</v>
      </c>
    </row>
    <row r="382" spans="2:9" ht="12.75">
      <c r="B382" t="s">
        <v>464</v>
      </c>
      <c r="H382" s="40">
        <v>482</v>
      </c>
      <c r="I382" s="57">
        <f t="shared" si="5"/>
        <v>8.010698171069522E-06</v>
      </c>
    </row>
    <row r="383" spans="2:9" ht="12.75">
      <c r="B383" s="6" t="s">
        <v>465</v>
      </c>
      <c r="H383" s="40">
        <v>1480</v>
      </c>
      <c r="I383" s="57">
        <f t="shared" si="5"/>
        <v>2.4597164508678203E-05</v>
      </c>
    </row>
    <row r="384" spans="2:9" ht="12.75">
      <c r="B384" s="6" t="s">
        <v>182</v>
      </c>
      <c r="H384" s="40"/>
      <c r="I384" s="57"/>
    </row>
    <row r="385" spans="8:9" ht="12.75">
      <c r="H385" s="40"/>
      <c r="I385" s="57"/>
    </row>
    <row r="386" spans="1:9" s="3" customFormat="1" ht="12.75">
      <c r="A386" s="3" t="s">
        <v>53</v>
      </c>
      <c r="B386" s="3" t="s">
        <v>71</v>
      </c>
      <c r="D386" s="8"/>
      <c r="E386" s="8"/>
      <c r="H386" s="39">
        <f>SUM(H387:H399)</f>
        <v>1985500</v>
      </c>
      <c r="I386" s="56">
        <f aca="true" t="shared" si="6" ref="I386:I405">H386/$H$605</f>
        <v>0.032998425764851735</v>
      </c>
    </row>
    <row r="387" spans="2:9" ht="12.75">
      <c r="B387" t="s">
        <v>23</v>
      </c>
      <c r="H387" s="40">
        <f>1045000+50000</f>
        <v>1095000</v>
      </c>
      <c r="I387" s="57">
        <f t="shared" si="6"/>
        <v>0.01819857779527205</v>
      </c>
    </row>
    <row r="388" spans="2:9" ht="12.75">
      <c r="B388" t="s">
        <v>24</v>
      </c>
      <c r="H388" s="40">
        <f>493500-300000</f>
        <v>193500</v>
      </c>
      <c r="I388" s="57">
        <f t="shared" si="6"/>
        <v>0.003215913062452184</v>
      </c>
    </row>
    <row r="389" spans="2:9" ht="12.75">
      <c r="B389" t="s">
        <v>219</v>
      </c>
      <c r="H389" s="40">
        <v>250000</v>
      </c>
      <c r="I389" s="57">
        <f t="shared" si="6"/>
        <v>0.004154926437276723</v>
      </c>
    </row>
    <row r="390" spans="2:9" ht="12.75">
      <c r="B390" t="s">
        <v>220</v>
      </c>
      <c r="H390" s="40">
        <v>106000</v>
      </c>
      <c r="I390" s="57">
        <f t="shared" si="6"/>
        <v>0.0017616888094053307</v>
      </c>
    </row>
    <row r="391" spans="2:9" ht="12.75">
      <c r="B391" t="s">
        <v>466</v>
      </c>
      <c r="H391" s="40">
        <f>30000+11000</f>
        <v>41000</v>
      </c>
      <c r="I391" s="57">
        <f t="shared" si="6"/>
        <v>0.0006814079357133826</v>
      </c>
    </row>
    <row r="392" spans="2:9" ht="12.75">
      <c r="B392" t="s">
        <v>467</v>
      </c>
      <c r="H392" s="40">
        <v>20000</v>
      </c>
      <c r="I392" s="57">
        <f t="shared" si="6"/>
        <v>0.00033239411498213787</v>
      </c>
    </row>
    <row r="393" spans="2:9" ht="12.75">
      <c r="B393" t="s">
        <v>468</v>
      </c>
      <c r="H393" s="40"/>
      <c r="I393" s="57"/>
    </row>
    <row r="394" spans="2:9" ht="12.75">
      <c r="B394" t="s">
        <v>268</v>
      </c>
      <c r="H394" s="40">
        <v>27000</v>
      </c>
      <c r="I394" s="57">
        <f t="shared" si="6"/>
        <v>0.0004487320552258862</v>
      </c>
    </row>
    <row r="395" spans="2:9" ht="12.75">
      <c r="B395" t="s">
        <v>469</v>
      </c>
      <c r="H395" s="40">
        <v>15000</v>
      </c>
      <c r="I395" s="57">
        <f t="shared" si="6"/>
        <v>0.00024929558623660344</v>
      </c>
    </row>
    <row r="396" spans="2:9" ht="12.75">
      <c r="B396" t="s">
        <v>470</v>
      </c>
      <c r="H396" s="40">
        <f>25000+3000</f>
        <v>28000</v>
      </c>
      <c r="I396" s="57">
        <f t="shared" si="6"/>
        <v>0.00046535176097499306</v>
      </c>
    </row>
    <row r="397" spans="2:9" ht="12.75">
      <c r="B397" t="s">
        <v>471</v>
      </c>
      <c r="H397" s="40">
        <v>80000</v>
      </c>
      <c r="I397" s="57">
        <f t="shared" si="6"/>
        <v>0.0013295764599285515</v>
      </c>
    </row>
    <row r="398" spans="2:9" ht="12.75">
      <c r="B398" t="s">
        <v>269</v>
      </c>
      <c r="H398" s="40">
        <v>122000</v>
      </c>
      <c r="I398" s="57">
        <f t="shared" si="6"/>
        <v>0.002027604101391041</v>
      </c>
    </row>
    <row r="399" spans="2:9" ht="12.75">
      <c r="B399" t="s">
        <v>472</v>
      </c>
      <c r="H399" s="40">
        <v>8000</v>
      </c>
      <c r="I399" s="57">
        <f t="shared" si="6"/>
        <v>0.00013295764599285516</v>
      </c>
    </row>
    <row r="400" spans="8:9" ht="12.75">
      <c r="H400" s="40"/>
      <c r="I400" s="57"/>
    </row>
    <row r="401" spans="1:9" s="3" customFormat="1" ht="12.75">
      <c r="A401" s="3" t="s">
        <v>76</v>
      </c>
      <c r="B401" s="3" t="s">
        <v>72</v>
      </c>
      <c r="D401" s="8"/>
      <c r="E401" s="8"/>
      <c r="H401" s="39">
        <f>SUM(H402:H403)</f>
        <v>1338300</v>
      </c>
      <c r="I401" s="56">
        <f t="shared" si="6"/>
        <v>0.022242152204029756</v>
      </c>
    </row>
    <row r="402" spans="2:9" s="3" customFormat="1" ht="12.75">
      <c r="B402" t="s">
        <v>73</v>
      </c>
      <c r="D402" s="8"/>
      <c r="E402" s="8"/>
      <c r="H402" s="38">
        <v>1041000</v>
      </c>
      <c r="I402" s="57">
        <f t="shared" si="6"/>
        <v>0.017301113684820277</v>
      </c>
    </row>
    <row r="403" spans="2:9" ht="12.75">
      <c r="B403" t="s">
        <v>74</v>
      </c>
      <c r="H403" s="38">
        <v>297300</v>
      </c>
      <c r="I403" s="57">
        <f t="shared" si="6"/>
        <v>0.00494103851920948</v>
      </c>
    </row>
    <row r="404" spans="8:9" ht="12.75">
      <c r="H404" s="40"/>
      <c r="I404" s="57"/>
    </row>
    <row r="405" spans="1:9" s="3" customFormat="1" ht="12.75">
      <c r="A405" s="3" t="s">
        <v>75</v>
      </c>
      <c r="B405" s="3" t="s">
        <v>27</v>
      </c>
      <c r="D405" s="8"/>
      <c r="E405" s="8"/>
      <c r="H405" s="39">
        <f>SUM(H407:H410)</f>
        <v>244800</v>
      </c>
      <c r="I405" s="56">
        <f t="shared" si="6"/>
        <v>0.004068503967381368</v>
      </c>
    </row>
    <row r="406" spans="1:9" s="47" customFormat="1" ht="12.75">
      <c r="A406" s="6"/>
      <c r="B406" s="6" t="s">
        <v>557</v>
      </c>
      <c r="C406" s="6"/>
      <c r="D406" s="9"/>
      <c r="E406" s="9"/>
      <c r="F406" s="6"/>
      <c r="G406" s="6"/>
      <c r="H406" s="42"/>
      <c r="I406" s="57"/>
    </row>
    <row r="407" spans="1:9" s="47" customFormat="1" ht="12.75">
      <c r="A407" s="6"/>
      <c r="B407" s="6" t="s">
        <v>558</v>
      </c>
      <c r="C407" s="6"/>
      <c r="D407" s="9"/>
      <c r="E407" s="9"/>
      <c r="F407" s="6"/>
      <c r="G407" s="6"/>
      <c r="H407" s="42">
        <v>165000</v>
      </c>
      <c r="I407" s="57">
        <f>H407/$H$605</f>
        <v>0.0027422514486026375</v>
      </c>
    </row>
    <row r="408" spans="2:9" s="47" customFormat="1" ht="12.75">
      <c r="B408" s="47" t="s">
        <v>473</v>
      </c>
      <c r="D408" s="67"/>
      <c r="E408" s="67"/>
      <c r="H408" s="68">
        <v>75000</v>
      </c>
      <c r="I408" s="57">
        <f>H408/$H$605</f>
        <v>0.0012464779311830172</v>
      </c>
    </row>
    <row r="409" spans="2:9" ht="12.75">
      <c r="B409" s="47" t="s">
        <v>559</v>
      </c>
      <c r="H409" s="40"/>
      <c r="I409" s="57"/>
    </row>
    <row r="410" spans="2:9" ht="12.75">
      <c r="B410" s="47" t="s">
        <v>560</v>
      </c>
      <c r="H410" s="40">
        <v>4800</v>
      </c>
      <c r="I410" s="57">
        <f>H410/$H$605</f>
        <v>7.977458759571309E-05</v>
      </c>
    </row>
    <row r="411" spans="8:9" ht="12.75">
      <c r="H411" s="40"/>
      <c r="I411" s="57"/>
    </row>
    <row r="412" spans="8:9" ht="12.75">
      <c r="H412" s="40"/>
      <c r="I412" s="57"/>
    </row>
    <row r="413" spans="8:9" ht="12.75">
      <c r="H413" s="40"/>
      <c r="I413" s="57"/>
    </row>
    <row r="414" spans="8:9" ht="12.75">
      <c r="H414" s="40"/>
      <c r="I414" s="57"/>
    </row>
    <row r="415" spans="8:9" ht="12.75">
      <c r="H415" s="40"/>
      <c r="I415" s="57"/>
    </row>
    <row r="416" spans="1:9" s="10" customFormat="1" ht="15">
      <c r="A416" s="5" t="s">
        <v>30</v>
      </c>
      <c r="B416" s="5"/>
      <c r="C416" s="5"/>
      <c r="D416" s="12"/>
      <c r="E416" s="12"/>
      <c r="F416" s="5"/>
      <c r="G416" s="5"/>
      <c r="H416" s="43">
        <f>H418+H425+H483+H488+H492+H497+H509+H520+H556+H578+H603</f>
        <v>36579127</v>
      </c>
      <c r="I416" s="55">
        <f>H416/$H$605</f>
        <v>0.6079343272992113</v>
      </c>
    </row>
    <row r="417" spans="1:9" ht="12.75">
      <c r="A417" s="3" t="s">
        <v>15</v>
      </c>
      <c r="H417" s="40"/>
      <c r="I417" s="57"/>
    </row>
    <row r="418" spans="1:9" ht="12.75">
      <c r="A418" s="18" t="s">
        <v>271</v>
      </c>
      <c r="B418" s="3" t="s">
        <v>272</v>
      </c>
      <c r="H418" s="39">
        <f>SUM(H420:H423)</f>
        <v>142000</v>
      </c>
      <c r="I418" s="56">
        <f>H418/$H$605</f>
        <v>0.002359998216373179</v>
      </c>
    </row>
    <row r="419" spans="1:9" ht="12.75">
      <c r="A419" s="3"/>
      <c r="B419" t="s">
        <v>273</v>
      </c>
      <c r="H419" s="40"/>
      <c r="I419" s="57"/>
    </row>
    <row r="420" spans="1:9" ht="12.75">
      <c r="A420" s="3"/>
      <c r="B420" t="s">
        <v>274</v>
      </c>
      <c r="H420" s="40">
        <v>130000</v>
      </c>
      <c r="I420" s="57">
        <f>H420/$H$605</f>
        <v>0.002160561747383896</v>
      </c>
    </row>
    <row r="421" spans="1:9" ht="12.75">
      <c r="A421" s="3"/>
      <c r="B421" t="s">
        <v>275</v>
      </c>
      <c r="H421" s="40"/>
      <c r="I421" s="57"/>
    </row>
    <row r="422" spans="1:9" ht="12.75">
      <c r="A422" s="3"/>
      <c r="B422" t="s">
        <v>277</v>
      </c>
      <c r="H422" s="40"/>
      <c r="I422" s="57"/>
    </row>
    <row r="423" spans="1:9" ht="12.75">
      <c r="A423" s="3"/>
      <c r="B423" t="s">
        <v>276</v>
      </c>
      <c r="H423" s="40">
        <v>12000</v>
      </c>
      <c r="I423" s="57">
        <f>H423/$H$605</f>
        <v>0.00019943646898928273</v>
      </c>
    </row>
    <row r="424" spans="1:9" ht="12.75">
      <c r="A424" s="3"/>
      <c r="H424" s="40"/>
      <c r="I424" s="57"/>
    </row>
    <row r="425" spans="1:9" s="18" customFormat="1" ht="12.75">
      <c r="A425" s="18" t="s">
        <v>54</v>
      </c>
      <c r="B425" s="18" t="s">
        <v>197</v>
      </c>
      <c r="D425" s="19"/>
      <c r="E425" s="19"/>
      <c r="H425" s="41">
        <f>SUM(H428:H481)</f>
        <v>17974409</v>
      </c>
      <c r="I425" s="56">
        <f>H425/$H$605</f>
        <v>0.2987293885940987</v>
      </c>
    </row>
    <row r="426" spans="1:9" s="47" customFormat="1" ht="12.75">
      <c r="A426" s="6"/>
      <c r="B426" s="6" t="s">
        <v>288</v>
      </c>
      <c r="C426" s="6"/>
      <c r="D426" s="9"/>
      <c r="E426" s="9"/>
      <c r="F426" s="6"/>
      <c r="G426" s="6"/>
      <c r="H426" s="42"/>
      <c r="I426" s="57"/>
    </row>
    <row r="427" spans="2:9" s="18" customFormat="1" ht="12.75">
      <c r="B427" s="6" t="s">
        <v>289</v>
      </c>
      <c r="D427" s="19"/>
      <c r="E427" s="19"/>
      <c r="H427" s="41"/>
      <c r="I427" s="57"/>
    </row>
    <row r="428" spans="2:9" s="18" customFormat="1" ht="12.75">
      <c r="B428" s="6" t="s">
        <v>565</v>
      </c>
      <c r="D428" s="19"/>
      <c r="E428" s="42">
        <v>1781000</v>
      </c>
      <c r="F428" s="18" t="s">
        <v>566</v>
      </c>
      <c r="H428" s="42">
        <v>5250000</v>
      </c>
      <c r="I428" s="57">
        <f>H428/$H$605</f>
        <v>0.08725345518281119</v>
      </c>
    </row>
    <row r="429" spans="2:9" s="18" customFormat="1" ht="12.75">
      <c r="B429" s="6"/>
      <c r="D429" s="19"/>
      <c r="E429" s="19"/>
      <c r="H429" s="42"/>
      <c r="I429" s="57"/>
    </row>
    <row r="430" spans="1:9" s="47" customFormat="1" ht="12.75">
      <c r="A430" s="6"/>
      <c r="B430" s="6" t="s">
        <v>290</v>
      </c>
      <c r="C430" s="6"/>
      <c r="D430" s="9"/>
      <c r="E430" s="9"/>
      <c r="F430" s="6"/>
      <c r="G430" s="6"/>
      <c r="H430" s="42"/>
      <c r="I430" s="57"/>
    </row>
    <row r="431" spans="1:9" s="47" customFormat="1" ht="12.75">
      <c r="A431" s="6"/>
      <c r="B431" s="6" t="s">
        <v>567</v>
      </c>
      <c r="C431" s="18"/>
      <c r="D431" s="19"/>
      <c r="E431" s="19"/>
      <c r="F431" s="18"/>
      <c r="G431" s="6"/>
      <c r="H431" s="42"/>
      <c r="I431" s="57"/>
    </row>
    <row r="432" spans="1:9" s="47" customFormat="1" ht="12.75">
      <c r="A432" s="6"/>
      <c r="B432" s="42">
        <v>595000</v>
      </c>
      <c r="C432" s="18" t="s">
        <v>566</v>
      </c>
      <c r="D432" s="19"/>
      <c r="E432" s="19"/>
      <c r="F432" s="18"/>
      <c r="G432" s="6"/>
      <c r="H432" s="42">
        <v>1309100</v>
      </c>
      <c r="I432" s="57">
        <f>H432/$H$605</f>
        <v>0.021756856796155834</v>
      </c>
    </row>
    <row r="433" spans="1:9" s="47" customFormat="1" ht="12.75">
      <c r="A433" s="6"/>
      <c r="B433" s="42"/>
      <c r="C433" s="18"/>
      <c r="D433" s="19"/>
      <c r="E433" s="19"/>
      <c r="F433" s="18"/>
      <c r="G433" s="6"/>
      <c r="H433" s="42"/>
      <c r="I433" s="57"/>
    </row>
    <row r="434" spans="1:9" s="47" customFormat="1" ht="12.75">
      <c r="A434" s="6"/>
      <c r="B434" s="6" t="s">
        <v>291</v>
      </c>
      <c r="C434" s="18"/>
      <c r="D434" s="19"/>
      <c r="E434" s="19"/>
      <c r="F434" s="18"/>
      <c r="G434" s="6"/>
      <c r="H434" s="42"/>
      <c r="I434" s="57"/>
    </row>
    <row r="435" spans="1:9" s="47" customFormat="1" ht="12.75">
      <c r="A435" s="6"/>
      <c r="B435" s="6" t="s">
        <v>567</v>
      </c>
      <c r="C435" s="6"/>
      <c r="D435" s="9"/>
      <c r="E435" s="9"/>
      <c r="F435" s="6"/>
      <c r="G435" s="6"/>
      <c r="H435" s="42"/>
      <c r="I435" s="57"/>
    </row>
    <row r="436" spans="1:9" s="47" customFormat="1" ht="12.75">
      <c r="A436" s="6"/>
      <c r="B436" s="42">
        <v>655500</v>
      </c>
      <c r="C436" s="6" t="s">
        <v>566</v>
      </c>
      <c r="D436" s="9"/>
      <c r="E436" s="9"/>
      <c r="F436" s="6"/>
      <c r="G436" s="6"/>
      <c r="H436" s="42">
        <v>1929500</v>
      </c>
      <c r="I436" s="57">
        <f>H436/$H$605</f>
        <v>0.032067722242901754</v>
      </c>
    </row>
    <row r="437" spans="1:9" s="47" customFormat="1" ht="12.75">
      <c r="A437" s="6"/>
      <c r="B437" s="42"/>
      <c r="C437" s="6"/>
      <c r="D437" s="9"/>
      <c r="E437" s="9"/>
      <c r="F437" s="6"/>
      <c r="G437" s="6"/>
      <c r="H437" s="42"/>
      <c r="I437" s="57"/>
    </row>
    <row r="438" spans="1:9" s="47" customFormat="1" ht="12.75">
      <c r="A438" s="6"/>
      <c r="B438" s="6" t="s">
        <v>292</v>
      </c>
      <c r="C438" s="6"/>
      <c r="D438" s="9"/>
      <c r="E438" s="9"/>
      <c r="F438" s="6"/>
      <c r="G438" s="6"/>
      <c r="H438" s="42"/>
      <c r="I438" s="57"/>
    </row>
    <row r="439" spans="1:9" s="47" customFormat="1" ht="12.75">
      <c r="A439" s="6"/>
      <c r="B439" s="6" t="s">
        <v>567</v>
      </c>
      <c r="C439" s="6"/>
      <c r="D439" s="9"/>
      <c r="E439" s="9"/>
      <c r="F439" s="6"/>
      <c r="G439" s="6"/>
      <c r="H439" s="42"/>
      <c r="I439" s="57"/>
    </row>
    <row r="440" spans="1:9" s="47" customFormat="1" ht="12.75">
      <c r="A440" s="6"/>
      <c r="B440" s="42">
        <v>70314</v>
      </c>
      <c r="C440" s="6" t="s">
        <v>566</v>
      </c>
      <c r="D440" s="9"/>
      <c r="E440" s="9"/>
      <c r="F440" s="6"/>
      <c r="G440" s="6"/>
      <c r="H440" s="42">
        <v>212227</v>
      </c>
      <c r="I440" s="57">
        <f>H440/$H$605</f>
        <v>0.003527150292015709</v>
      </c>
    </row>
    <row r="441" spans="1:9" s="47" customFormat="1" ht="12.75">
      <c r="A441" s="6"/>
      <c r="B441" s="42"/>
      <c r="C441" s="6"/>
      <c r="D441" s="9"/>
      <c r="E441" s="9"/>
      <c r="F441" s="6"/>
      <c r="G441" s="6"/>
      <c r="H441" s="42"/>
      <c r="I441" s="57"/>
    </row>
    <row r="442" spans="1:9" s="47" customFormat="1" ht="12.75">
      <c r="A442" s="6"/>
      <c r="B442" s="6" t="s">
        <v>295</v>
      </c>
      <c r="C442" s="6"/>
      <c r="D442" s="9"/>
      <c r="E442" s="9"/>
      <c r="F442" s="6"/>
      <c r="G442" s="6"/>
      <c r="H442" s="42"/>
      <c r="I442" s="57"/>
    </row>
    <row r="443" spans="1:9" s="47" customFormat="1" ht="12.75">
      <c r="A443" s="6"/>
      <c r="B443" s="6" t="s">
        <v>296</v>
      </c>
      <c r="C443" s="6"/>
      <c r="D443" s="9"/>
      <c r="E443" s="9"/>
      <c r="F443" s="6"/>
      <c r="G443" s="6"/>
      <c r="H443" s="42"/>
      <c r="I443" s="57"/>
    </row>
    <row r="444" spans="1:9" s="47" customFormat="1" ht="12.75">
      <c r="A444" s="6"/>
      <c r="B444" s="6" t="s">
        <v>297</v>
      </c>
      <c r="C444" s="6"/>
      <c r="D444" s="9"/>
      <c r="E444" s="9"/>
      <c r="F444" s="6"/>
      <c r="G444" s="6"/>
      <c r="H444" s="42"/>
      <c r="I444" s="57"/>
    </row>
    <row r="445" spans="1:9" s="47" customFormat="1" ht="12.75">
      <c r="A445" s="6"/>
      <c r="B445" s="6" t="s">
        <v>568</v>
      </c>
      <c r="C445" s="6"/>
      <c r="D445" s="42">
        <v>655000</v>
      </c>
      <c r="E445" s="9" t="s">
        <v>566</v>
      </c>
      <c r="F445" s="6"/>
      <c r="G445" s="6"/>
      <c r="H445" s="42">
        <v>2000000</v>
      </c>
      <c r="I445" s="57">
        <f>H445/$H$605</f>
        <v>0.033239411498213786</v>
      </c>
    </row>
    <row r="446" spans="1:9" s="47" customFormat="1" ht="12.75">
      <c r="A446" s="6"/>
      <c r="B446" s="6"/>
      <c r="C446" s="6"/>
      <c r="D446" s="9"/>
      <c r="E446" s="9"/>
      <c r="F446" s="6"/>
      <c r="G446" s="6"/>
      <c r="H446" s="42"/>
      <c r="I446" s="57"/>
    </row>
    <row r="447" spans="1:9" s="47" customFormat="1" ht="12.75">
      <c r="A447" s="6"/>
      <c r="B447" s="6" t="s">
        <v>298</v>
      </c>
      <c r="C447" s="6"/>
      <c r="D447" s="9"/>
      <c r="E447" s="9"/>
      <c r="F447" s="6"/>
      <c r="G447" s="6"/>
      <c r="H447" s="42"/>
      <c r="I447" s="57"/>
    </row>
    <row r="448" spans="1:9" s="47" customFormat="1" ht="12.75">
      <c r="A448" s="6"/>
      <c r="B448" s="6" t="s">
        <v>299</v>
      </c>
      <c r="C448" s="6"/>
      <c r="D448" s="9"/>
      <c r="E448" s="9"/>
      <c r="F448" s="6"/>
      <c r="G448" s="6"/>
      <c r="H448" s="42"/>
      <c r="I448" s="57"/>
    </row>
    <row r="449" spans="1:9" s="47" customFormat="1" ht="12.75">
      <c r="A449" s="6"/>
      <c r="B449" s="6" t="s">
        <v>567</v>
      </c>
      <c r="C449" s="6"/>
      <c r="D449" s="9"/>
      <c r="E449" s="9"/>
      <c r="F449" s="6"/>
      <c r="G449" s="6"/>
      <c r="H449" s="42"/>
      <c r="I449" s="57"/>
    </row>
    <row r="450" spans="1:9" s="47" customFormat="1" ht="12.75">
      <c r="A450" s="6"/>
      <c r="B450" s="42">
        <v>860000</v>
      </c>
      <c r="C450" s="6" t="s">
        <v>566</v>
      </c>
      <c r="D450" s="9"/>
      <c r="E450" s="9"/>
      <c r="F450" s="6"/>
      <c r="G450" s="6"/>
      <c r="H450" s="42">
        <v>2520400</v>
      </c>
      <c r="I450" s="57">
        <f>H450/$H$605</f>
        <v>0.04188830637004902</v>
      </c>
    </row>
    <row r="451" spans="1:9" s="47" customFormat="1" ht="12.75">
      <c r="A451" s="6"/>
      <c r="B451" s="42"/>
      <c r="C451" s="6"/>
      <c r="D451" s="9"/>
      <c r="E451" s="9"/>
      <c r="F451" s="6"/>
      <c r="G451" s="6"/>
      <c r="H451" s="42"/>
      <c r="I451" s="57"/>
    </row>
    <row r="452" spans="1:9" s="47" customFormat="1" ht="12.75">
      <c r="A452" s="6"/>
      <c r="B452" s="6" t="s">
        <v>300</v>
      </c>
      <c r="C452" s="6"/>
      <c r="D452" s="9"/>
      <c r="E452" s="9"/>
      <c r="F452" s="6"/>
      <c r="G452" s="6"/>
      <c r="H452" s="42"/>
      <c r="I452" s="57"/>
    </row>
    <row r="453" spans="1:9" s="47" customFormat="1" ht="12.75">
      <c r="A453" s="6"/>
      <c r="B453" s="6" t="s">
        <v>301</v>
      </c>
      <c r="C453" s="6"/>
      <c r="D453" s="9"/>
      <c r="E453" s="9"/>
      <c r="F453" s="6"/>
      <c r="G453" s="6"/>
      <c r="H453" s="42"/>
      <c r="I453" s="57"/>
    </row>
    <row r="454" spans="1:9" s="47" customFormat="1" ht="12.75">
      <c r="A454" s="6"/>
      <c r="B454" s="6" t="s">
        <v>567</v>
      </c>
      <c r="C454" s="6"/>
      <c r="D454" s="9"/>
      <c r="E454" s="9"/>
      <c r="F454" s="6"/>
      <c r="G454" s="6"/>
      <c r="H454" s="42"/>
      <c r="I454" s="57"/>
    </row>
    <row r="455" spans="1:9" s="47" customFormat="1" ht="12.75">
      <c r="A455" s="6"/>
      <c r="B455" s="42">
        <v>542000</v>
      </c>
      <c r="C455" s="6" t="s">
        <v>566</v>
      </c>
      <c r="D455" s="9"/>
      <c r="E455" s="9"/>
      <c r="F455" s="6"/>
      <c r="G455" s="6"/>
      <c r="H455" s="42">
        <v>1568316</v>
      </c>
      <c r="I455" s="57">
        <f>H455/$H$605</f>
        <v>0.026064950441616327</v>
      </c>
    </row>
    <row r="456" spans="1:9" s="47" customFormat="1" ht="12.75">
      <c r="A456" s="6"/>
      <c r="B456" s="42"/>
      <c r="C456" s="6"/>
      <c r="D456" s="9"/>
      <c r="E456" s="9"/>
      <c r="F456" s="6"/>
      <c r="G456" s="6"/>
      <c r="H456" s="42"/>
      <c r="I456" s="57"/>
    </row>
    <row r="457" spans="1:9" s="47" customFormat="1" ht="12.75">
      <c r="A457" s="6"/>
      <c r="B457" s="6" t="s">
        <v>302</v>
      </c>
      <c r="C457" s="6"/>
      <c r="D457" s="9"/>
      <c r="E457" s="9"/>
      <c r="F457" s="6"/>
      <c r="G457" s="6"/>
      <c r="H457" s="42"/>
      <c r="I457" s="57"/>
    </row>
    <row r="458" spans="1:9" s="47" customFormat="1" ht="12.75">
      <c r="A458" s="6"/>
      <c r="B458" s="6" t="s">
        <v>303</v>
      </c>
      <c r="C458" s="6"/>
      <c r="D458" s="9"/>
      <c r="E458" s="9"/>
      <c r="F458" s="6"/>
      <c r="G458" s="6"/>
      <c r="H458" s="42"/>
      <c r="I458" s="57"/>
    </row>
    <row r="459" spans="1:9" s="47" customFormat="1" ht="12.75">
      <c r="A459" s="6"/>
      <c r="B459" s="6" t="s">
        <v>567</v>
      </c>
      <c r="C459" s="6"/>
      <c r="D459" s="9"/>
      <c r="E459" s="9"/>
      <c r="F459" s="6"/>
      <c r="G459" s="6"/>
      <c r="H459" s="42"/>
      <c r="I459" s="57"/>
    </row>
    <row r="460" spans="1:9" s="47" customFormat="1" ht="12.75">
      <c r="A460" s="6"/>
      <c r="B460" s="42">
        <v>376300</v>
      </c>
      <c r="C460" s="6" t="s">
        <v>566</v>
      </c>
      <c r="D460" s="9"/>
      <c r="E460" s="9"/>
      <c r="F460" s="6"/>
      <c r="G460" s="6"/>
      <c r="H460" s="42">
        <v>1093326</v>
      </c>
      <c r="I460" s="57">
        <f>H460/$H$605</f>
        <v>0.018170756407848043</v>
      </c>
    </row>
    <row r="461" spans="1:9" s="47" customFormat="1" ht="12.75">
      <c r="A461" s="6"/>
      <c r="B461" s="42"/>
      <c r="C461" s="6"/>
      <c r="D461" s="9"/>
      <c r="E461" s="9"/>
      <c r="F461" s="6"/>
      <c r="G461" s="6"/>
      <c r="H461" s="42"/>
      <c r="I461" s="57"/>
    </row>
    <row r="462" spans="1:9" s="47" customFormat="1" ht="12.75">
      <c r="A462" s="6"/>
      <c r="B462" t="s">
        <v>326</v>
      </c>
      <c r="C462"/>
      <c r="D462" s="4"/>
      <c r="E462" s="4"/>
      <c r="F462"/>
      <c r="G462"/>
      <c r="H462" s="4"/>
      <c r="I462" s="57"/>
    </row>
    <row r="463" spans="1:9" s="47" customFormat="1" ht="12.75">
      <c r="A463" s="6"/>
      <c r="B463" t="s">
        <v>283</v>
      </c>
      <c r="C463"/>
      <c r="D463" s="4"/>
      <c r="E463" s="4"/>
      <c r="F463"/>
      <c r="G463"/>
      <c r="H463" s="40"/>
      <c r="I463" s="57"/>
    </row>
    <row r="464" spans="1:9" s="47" customFormat="1" ht="12.75">
      <c r="A464" s="6"/>
      <c r="B464" t="s">
        <v>284</v>
      </c>
      <c r="C464"/>
      <c r="D464" s="4"/>
      <c r="E464" s="4"/>
      <c r="F464"/>
      <c r="G464"/>
      <c r="H464" s="40"/>
      <c r="I464" s="57"/>
    </row>
    <row r="465" spans="1:9" s="47" customFormat="1" ht="12.75">
      <c r="A465" s="6"/>
      <c r="B465" t="s">
        <v>285</v>
      </c>
      <c r="C465"/>
      <c r="D465" s="4"/>
      <c r="E465" s="4"/>
      <c r="F465"/>
      <c r="G465"/>
      <c r="H465" s="4"/>
      <c r="I465" s="57"/>
    </row>
    <row r="466" spans="1:9" s="47" customFormat="1" ht="12.75">
      <c r="A466" s="6"/>
      <c r="B466" t="s">
        <v>286</v>
      </c>
      <c r="C466"/>
      <c r="D466" s="4"/>
      <c r="E466" s="4"/>
      <c r="F466"/>
      <c r="G466"/>
      <c r="H466" s="40">
        <v>71540</v>
      </c>
      <c r="I466" s="57">
        <f>H466/$H$605</f>
        <v>0.0011889737492911073</v>
      </c>
    </row>
    <row r="467" spans="1:9" s="47" customFormat="1" ht="12.75">
      <c r="A467" s="6"/>
      <c r="B467"/>
      <c r="C467"/>
      <c r="D467" s="4"/>
      <c r="E467" s="4"/>
      <c r="F467"/>
      <c r="G467"/>
      <c r="H467" s="40"/>
      <c r="I467" s="57"/>
    </row>
    <row r="468" spans="1:9" s="47" customFormat="1" ht="12.75">
      <c r="A468" s="6"/>
      <c r="B468" s="17" t="s">
        <v>327</v>
      </c>
      <c r="C468" s="17"/>
      <c r="D468" s="22"/>
      <c r="E468" s="22"/>
      <c r="F468" s="17"/>
      <c r="G468" s="17"/>
      <c r="H468" s="38">
        <v>160000</v>
      </c>
      <c r="I468" s="57">
        <f>H468/$H$605</f>
        <v>0.002659152919857103</v>
      </c>
    </row>
    <row r="469" spans="1:9" s="47" customFormat="1" ht="12.75">
      <c r="A469" s="6"/>
      <c r="B469" s="17"/>
      <c r="C469" s="17"/>
      <c r="D469" s="22"/>
      <c r="E469" s="22"/>
      <c r="F469" s="17"/>
      <c r="G469" s="17"/>
      <c r="H469" s="38"/>
      <c r="I469" s="57"/>
    </row>
    <row r="470" spans="1:9" s="47" customFormat="1" ht="12.75">
      <c r="A470" s="6"/>
      <c r="B470" s="17" t="s">
        <v>311</v>
      </c>
      <c r="C470" s="6"/>
      <c r="D470" s="9"/>
      <c r="E470" s="9"/>
      <c r="F470" s="6"/>
      <c r="G470" s="6"/>
      <c r="H470" s="42">
        <f>80000+650000</f>
        <v>730000</v>
      </c>
      <c r="I470" s="57">
        <f>H470/$H$605</f>
        <v>0.012132385196848033</v>
      </c>
    </row>
    <row r="471" spans="1:9" s="47" customFormat="1" ht="12.75">
      <c r="A471" s="6"/>
      <c r="B471" s="17"/>
      <c r="C471" s="6"/>
      <c r="D471" s="9"/>
      <c r="E471" s="9"/>
      <c r="F471" s="6"/>
      <c r="G471" s="6"/>
      <c r="H471" s="42"/>
      <c r="I471" s="57"/>
    </row>
    <row r="472" spans="1:9" s="47" customFormat="1" ht="12.75">
      <c r="A472" s="6"/>
      <c r="B472" s="17" t="s">
        <v>312</v>
      </c>
      <c r="C472" s="6"/>
      <c r="D472" s="9"/>
      <c r="E472" s="9"/>
      <c r="F472" s="6"/>
      <c r="G472" s="6"/>
      <c r="H472" s="42">
        <v>40000</v>
      </c>
      <c r="I472" s="57">
        <f>H472/$H$605</f>
        <v>0.0006647882299642757</v>
      </c>
    </row>
    <row r="473" spans="1:9" s="47" customFormat="1" ht="12.75">
      <c r="A473" s="6"/>
      <c r="B473" s="17"/>
      <c r="C473" s="6"/>
      <c r="D473" s="9"/>
      <c r="E473" s="9"/>
      <c r="F473" s="6"/>
      <c r="G473" s="6"/>
      <c r="H473" s="42"/>
      <c r="I473" s="57"/>
    </row>
    <row r="474" spans="1:9" s="47" customFormat="1" ht="12.75">
      <c r="A474" s="6"/>
      <c r="B474" s="17"/>
      <c r="C474" s="6"/>
      <c r="D474" s="9"/>
      <c r="E474" s="9"/>
      <c r="F474" s="6"/>
      <c r="G474" s="6"/>
      <c r="H474" s="42"/>
      <c r="I474" s="57"/>
    </row>
    <row r="475" spans="1:9" s="47" customFormat="1" ht="12.75">
      <c r="A475" s="6"/>
      <c r="B475" s="17" t="s">
        <v>313</v>
      </c>
      <c r="C475" s="6"/>
      <c r="D475" s="9"/>
      <c r="E475" s="9"/>
      <c r="F475" s="6"/>
      <c r="G475" s="6"/>
      <c r="H475" s="42"/>
      <c r="I475" s="57"/>
    </row>
    <row r="476" spans="1:9" s="47" customFormat="1" ht="12.75">
      <c r="A476" s="6"/>
      <c r="B476" s="17" t="s">
        <v>314</v>
      </c>
      <c r="C476" s="6"/>
      <c r="D476" s="9"/>
      <c r="E476" s="9"/>
      <c r="F476" s="6"/>
      <c r="G476" s="6"/>
      <c r="H476" s="42">
        <v>200000</v>
      </c>
      <c r="I476" s="57">
        <f>H476/$H$605</f>
        <v>0.003323941149821379</v>
      </c>
    </row>
    <row r="477" spans="4:9" s="17" customFormat="1" ht="12.75">
      <c r="D477" s="22"/>
      <c r="E477" s="22"/>
      <c r="H477" s="38"/>
      <c r="I477" s="57"/>
    </row>
    <row r="478" spans="2:9" ht="12.75">
      <c r="B478" s="17" t="s">
        <v>561</v>
      </c>
      <c r="H478" s="40">
        <v>800000</v>
      </c>
      <c r="I478" s="57">
        <f>H478/$H$605</f>
        <v>0.013295764599285515</v>
      </c>
    </row>
    <row r="479" spans="2:9" ht="12.75">
      <c r="B479" s="17"/>
      <c r="H479" s="40"/>
      <c r="I479" s="57"/>
    </row>
    <row r="480" spans="2:9" ht="12.75">
      <c r="B480" s="17" t="s">
        <v>562</v>
      </c>
      <c r="I480" s="57"/>
    </row>
    <row r="481" spans="2:9" ht="12.75">
      <c r="B481" s="17" t="s">
        <v>325</v>
      </c>
      <c r="H481" s="40">
        <v>90000</v>
      </c>
      <c r="I481" s="57">
        <f>H481/$H$605</f>
        <v>0.0014957735174196205</v>
      </c>
    </row>
    <row r="482" spans="8:9" ht="12.75">
      <c r="H482" s="40"/>
      <c r="I482" s="57"/>
    </row>
    <row r="483" spans="1:9" ht="12.75">
      <c r="A483" s="18" t="s">
        <v>33</v>
      </c>
      <c r="B483" s="3" t="s">
        <v>34</v>
      </c>
      <c r="H483" s="39">
        <f>SUM(H485:H486)</f>
        <v>300000</v>
      </c>
      <c r="I483" s="56">
        <f>H483/$H$605</f>
        <v>0.004985911724732069</v>
      </c>
    </row>
    <row r="484" spans="2:9" ht="12.75">
      <c r="B484" t="s">
        <v>309</v>
      </c>
      <c r="H484" s="40"/>
      <c r="I484" s="57"/>
    </row>
    <row r="485" spans="2:9" ht="12.75">
      <c r="B485" t="s">
        <v>310</v>
      </c>
      <c r="H485" s="40"/>
      <c r="I485" s="57"/>
    </row>
    <row r="486" spans="2:9" ht="12.75">
      <c r="B486" t="s">
        <v>294</v>
      </c>
      <c r="H486" s="40">
        <v>300000</v>
      </c>
      <c r="I486" s="57">
        <f>H486/$H$605</f>
        <v>0.004985911724732069</v>
      </c>
    </row>
    <row r="487" spans="8:9" ht="12.75">
      <c r="H487" s="40"/>
      <c r="I487" s="57"/>
    </row>
    <row r="488" spans="1:9" s="18" customFormat="1" ht="12.75">
      <c r="A488" s="18" t="s">
        <v>35</v>
      </c>
      <c r="B488" s="18" t="s">
        <v>221</v>
      </c>
      <c r="D488" s="19"/>
      <c r="E488" s="19"/>
      <c r="H488" s="41">
        <f>SUM(H489:H490)</f>
        <v>140000</v>
      </c>
      <c r="I488" s="56">
        <f>H488/$H$605</f>
        <v>0.0023267588048749652</v>
      </c>
    </row>
    <row r="489" spans="2:9" ht="12.75">
      <c r="B489" t="s">
        <v>315</v>
      </c>
      <c r="H489" s="40">
        <v>140000</v>
      </c>
      <c r="I489" s="57">
        <f>H489/$H$605</f>
        <v>0.0023267588048749652</v>
      </c>
    </row>
    <row r="490" spans="8:9" ht="12.75">
      <c r="H490" s="40"/>
      <c r="I490" s="57"/>
    </row>
    <row r="491" spans="8:9" ht="12.75">
      <c r="H491" s="40"/>
      <c r="I491" s="57"/>
    </row>
    <row r="492" spans="1:9" s="3" customFormat="1" ht="12.75">
      <c r="A492" s="3" t="s">
        <v>58</v>
      </c>
      <c r="B492" s="3" t="s">
        <v>59</v>
      </c>
      <c r="D492" s="8"/>
      <c r="E492" s="8"/>
      <c r="H492" s="39">
        <f>SUM(H493:H495)</f>
        <v>350000</v>
      </c>
      <c r="I492" s="56">
        <f>H492/$H$605</f>
        <v>0.005816897012187413</v>
      </c>
    </row>
    <row r="493" spans="1:9" s="47" customFormat="1" ht="12.75">
      <c r="A493" s="6"/>
      <c r="B493" s="6" t="s">
        <v>250</v>
      </c>
      <c r="C493" s="6"/>
      <c r="D493" s="9"/>
      <c r="E493" s="9"/>
      <c r="F493" s="6"/>
      <c r="G493" s="6"/>
      <c r="H493" s="42">
        <v>300000</v>
      </c>
      <c r="I493" s="57">
        <f>H493/$H$605</f>
        <v>0.004985911724732069</v>
      </c>
    </row>
    <row r="494" spans="1:9" s="47" customFormat="1" ht="12.75">
      <c r="A494" s="6"/>
      <c r="B494" t="s">
        <v>556</v>
      </c>
      <c r="C494"/>
      <c r="D494" s="4"/>
      <c r="E494" s="4"/>
      <c r="F494" s="6"/>
      <c r="G494" s="6"/>
      <c r="H494" s="42"/>
      <c r="I494" s="57"/>
    </row>
    <row r="495" spans="1:9" s="47" customFormat="1" ht="12.75">
      <c r="A495" s="6"/>
      <c r="B495" t="s">
        <v>266</v>
      </c>
      <c r="C495"/>
      <c r="D495" s="4"/>
      <c r="E495" s="4"/>
      <c r="F495" s="6"/>
      <c r="G495" s="6"/>
      <c r="H495" s="42">
        <v>50000</v>
      </c>
      <c r="I495" s="57">
        <f>H495/$H$605</f>
        <v>0.0008309852874553447</v>
      </c>
    </row>
    <row r="496" spans="8:9" ht="12.75">
      <c r="H496" s="40"/>
      <c r="I496" s="57"/>
    </row>
    <row r="497" spans="1:9" s="18" customFormat="1" ht="12.75">
      <c r="A497" s="18" t="s">
        <v>39</v>
      </c>
      <c r="B497" s="18" t="s">
        <v>40</v>
      </c>
      <c r="D497" s="19"/>
      <c r="E497" s="19"/>
      <c r="H497" s="41">
        <f>SUM(H500:H506)</f>
        <v>813200</v>
      </c>
      <c r="I497" s="56">
        <f>H497/$H$605</f>
        <v>0.013515144715173727</v>
      </c>
    </row>
    <row r="498" spans="2:9" ht="12.75">
      <c r="B498" t="s">
        <v>316</v>
      </c>
      <c r="H498" s="40"/>
      <c r="I498" s="57"/>
    </row>
    <row r="499" spans="2:9" ht="12.75">
      <c r="B499" t="s">
        <v>317</v>
      </c>
      <c r="H499" s="40"/>
      <c r="I499" s="57"/>
    </row>
    <row r="500" spans="2:9" ht="12.75">
      <c r="B500" t="s">
        <v>318</v>
      </c>
      <c r="H500" s="40">
        <v>500000</v>
      </c>
      <c r="I500" s="57">
        <f>H500/$H$605</f>
        <v>0.008309852874553447</v>
      </c>
    </row>
    <row r="501" spans="2:9" ht="12.75">
      <c r="B501" t="s">
        <v>328</v>
      </c>
      <c r="H501" s="40"/>
      <c r="I501" s="57"/>
    </row>
    <row r="502" spans="2:9" ht="12.75">
      <c r="B502" t="s">
        <v>329</v>
      </c>
      <c r="H502" s="40">
        <v>188500</v>
      </c>
      <c r="I502" s="57">
        <f>H502/$H$605</f>
        <v>0.0031328145337066494</v>
      </c>
    </row>
    <row r="503" spans="2:9" ht="12.75">
      <c r="B503" t="s">
        <v>564</v>
      </c>
      <c r="H503" s="40">
        <v>55000</v>
      </c>
      <c r="I503" s="57"/>
    </row>
    <row r="504" spans="2:9" ht="12.75">
      <c r="B504" t="s">
        <v>563</v>
      </c>
      <c r="H504" s="40"/>
      <c r="I504" s="57"/>
    </row>
    <row r="505" spans="2:11" ht="12.75">
      <c r="B505" t="s">
        <v>330</v>
      </c>
      <c r="H505" s="40"/>
      <c r="I505" s="57"/>
      <c r="K505" s="36"/>
    </row>
    <row r="506" spans="2:11" ht="12.75">
      <c r="B506" t="s">
        <v>331</v>
      </c>
      <c r="H506" s="40">
        <f>65700+4000</f>
        <v>69700</v>
      </c>
      <c r="I506" s="57">
        <f>H506/$H$605</f>
        <v>0.0011583934907127506</v>
      </c>
      <c r="K506" s="36"/>
    </row>
    <row r="507" spans="8:11" ht="12.75">
      <c r="H507" s="40"/>
      <c r="I507" s="57"/>
      <c r="K507" s="36"/>
    </row>
    <row r="508" spans="8:9" ht="12.75">
      <c r="H508" s="40"/>
      <c r="I508" s="57"/>
    </row>
    <row r="509" spans="1:9" s="18" customFormat="1" ht="12.75">
      <c r="A509" s="18" t="s">
        <v>43</v>
      </c>
      <c r="B509" s="18" t="s">
        <v>44</v>
      </c>
      <c r="D509" s="19"/>
      <c r="E509" s="19"/>
      <c r="H509" s="41">
        <f>SUM(H511:H518)</f>
        <v>387000</v>
      </c>
      <c r="I509" s="56">
        <f aca="true" t="shared" si="7" ref="I509:I520">H509/$H$605</f>
        <v>0.006431826124904368</v>
      </c>
    </row>
    <row r="510" spans="2:9" s="17" customFormat="1" ht="12.75">
      <c r="B510" s="17" t="s">
        <v>278</v>
      </c>
      <c r="D510" s="22"/>
      <c r="E510" s="22"/>
      <c r="H510" s="38"/>
      <c r="I510" s="57"/>
    </row>
    <row r="511" spans="2:9" ht="12.75">
      <c r="B511" t="s">
        <v>279</v>
      </c>
      <c r="H511" s="40">
        <v>14000</v>
      </c>
      <c r="I511" s="57">
        <f t="shared" si="7"/>
        <v>0.00023267588048749653</v>
      </c>
    </row>
    <row r="512" spans="2:9" ht="12.75">
      <c r="B512" t="s">
        <v>319</v>
      </c>
      <c r="H512" s="40"/>
      <c r="I512" s="57"/>
    </row>
    <row r="513" spans="2:9" ht="12.75">
      <c r="B513" t="s">
        <v>320</v>
      </c>
      <c r="H513" s="40"/>
      <c r="I513" s="57"/>
    </row>
    <row r="514" spans="2:9" ht="12.75">
      <c r="B514" t="s">
        <v>321</v>
      </c>
      <c r="H514" s="40">
        <v>300000</v>
      </c>
      <c r="I514" s="57">
        <f t="shared" si="7"/>
        <v>0.004985911724732069</v>
      </c>
    </row>
    <row r="515" spans="2:9" ht="12.75">
      <c r="B515" t="s">
        <v>332</v>
      </c>
      <c r="H515" s="40"/>
      <c r="I515" s="57"/>
    </row>
    <row r="516" spans="2:9" ht="12.75">
      <c r="B516" t="s">
        <v>333</v>
      </c>
      <c r="H516" s="40">
        <v>37000</v>
      </c>
      <c r="I516" s="57">
        <f t="shared" si="7"/>
        <v>0.0006149291127169551</v>
      </c>
    </row>
    <row r="517" spans="2:9" ht="12.75">
      <c r="B517" t="s">
        <v>334</v>
      </c>
      <c r="H517" s="40">
        <v>30000</v>
      </c>
      <c r="I517" s="57">
        <f t="shared" si="7"/>
        <v>0.0004985911724732069</v>
      </c>
    </row>
    <row r="518" spans="2:9" ht="12.75">
      <c r="B518" t="s">
        <v>335</v>
      </c>
      <c r="H518" s="40">
        <v>6000</v>
      </c>
      <c r="I518" s="57">
        <f t="shared" si="7"/>
        <v>9.971823449464137E-05</v>
      </c>
    </row>
    <row r="519" spans="8:9" ht="12.75">
      <c r="H519" s="40"/>
      <c r="I519" s="57"/>
    </row>
    <row r="520" spans="1:9" s="18" customFormat="1" ht="12.75">
      <c r="A520" s="18" t="s">
        <v>50</v>
      </c>
      <c r="B520" s="18" t="s">
        <v>4</v>
      </c>
      <c r="D520" s="19"/>
      <c r="E520" s="19"/>
      <c r="H520" s="41">
        <f>SUM(H528:H554)</f>
        <v>7596650</v>
      </c>
      <c r="I520" s="56">
        <f t="shared" si="7"/>
        <v>0.12625408767895288</v>
      </c>
    </row>
    <row r="521" spans="1:9" s="47" customFormat="1" ht="12.75">
      <c r="A521" s="6"/>
      <c r="B521" s="6" t="s">
        <v>306</v>
      </c>
      <c r="C521" s="6"/>
      <c r="D521" s="9"/>
      <c r="E521" s="9"/>
      <c r="F521" s="6"/>
      <c r="G521" s="6"/>
      <c r="H521" s="42"/>
      <c r="I521" s="57"/>
    </row>
    <row r="522" spans="1:9" s="47" customFormat="1" ht="12.75">
      <c r="A522" s="6"/>
      <c r="B522" s="6" t="s">
        <v>392</v>
      </c>
      <c r="C522" s="6"/>
      <c r="D522" s="9"/>
      <c r="E522" s="9"/>
      <c r="F522" s="6"/>
      <c r="G522" s="6"/>
      <c r="H522" s="42"/>
      <c r="I522" s="57"/>
    </row>
    <row r="523" spans="1:9" s="47" customFormat="1" ht="12.75">
      <c r="A523" s="6"/>
      <c r="B523" t="s">
        <v>391</v>
      </c>
      <c r="C523"/>
      <c r="D523" s="4"/>
      <c r="E523" s="4"/>
      <c r="F523"/>
      <c r="G523" s="6"/>
      <c r="H523" s="42"/>
      <c r="I523" s="57"/>
    </row>
    <row r="524" spans="1:9" s="47" customFormat="1" ht="12.75">
      <c r="A524" s="6"/>
      <c r="B524" t="s">
        <v>388</v>
      </c>
      <c r="C524"/>
      <c r="D524" s="4"/>
      <c r="E524" s="4"/>
      <c r="F524"/>
      <c r="G524" s="6"/>
      <c r="H524" s="42"/>
      <c r="I524" s="57"/>
    </row>
    <row r="525" spans="1:9" s="47" customFormat="1" ht="12.75">
      <c r="A525" s="6"/>
      <c r="B525" t="s">
        <v>387</v>
      </c>
      <c r="C525"/>
      <c r="D525" s="4"/>
      <c r="E525" s="4"/>
      <c r="F525"/>
      <c r="G525" s="6"/>
      <c r="H525" s="42"/>
      <c r="I525" s="57"/>
    </row>
    <row r="526" spans="1:9" s="47" customFormat="1" ht="12.75">
      <c r="A526" s="6"/>
      <c r="B526" t="s">
        <v>389</v>
      </c>
      <c r="C526"/>
      <c r="D526" s="4"/>
      <c r="E526" s="4"/>
      <c r="F526"/>
      <c r="G526" s="6"/>
      <c r="H526" s="42"/>
      <c r="I526" s="57"/>
    </row>
    <row r="527" spans="1:9" s="47" customFormat="1" ht="12.75">
      <c r="A527" s="6"/>
      <c r="B527" t="s">
        <v>390</v>
      </c>
      <c r="C527"/>
      <c r="D527" s="4"/>
      <c r="E527" s="4"/>
      <c r="F527"/>
      <c r="G527" s="6"/>
      <c r="H527" s="42"/>
      <c r="I527" s="57"/>
    </row>
    <row r="528" spans="2:9" s="18" customFormat="1" ht="12.75">
      <c r="B528" s="6" t="s">
        <v>569</v>
      </c>
      <c r="D528" s="19"/>
      <c r="E528" s="19"/>
      <c r="H528" s="42"/>
      <c r="I528" s="57"/>
    </row>
    <row r="529" spans="2:9" s="18" customFormat="1" ht="12.75">
      <c r="B529" s="42">
        <f>2459600+340000</f>
        <v>2799600</v>
      </c>
      <c r="C529" s="18" t="s">
        <v>566</v>
      </c>
      <c r="D529" s="19"/>
      <c r="E529" s="19"/>
      <c r="H529" s="42">
        <v>3853650</v>
      </c>
      <c r="I529" s="57">
        <f>H529/$H$605</f>
        <v>0.06404652906004578</v>
      </c>
    </row>
    <row r="530" spans="2:9" s="18" customFormat="1" ht="12.75">
      <c r="B530" s="6" t="s">
        <v>376</v>
      </c>
      <c r="D530" s="19"/>
      <c r="E530" s="19"/>
      <c r="H530" s="42">
        <v>550000</v>
      </c>
      <c r="I530" s="57">
        <f>H530/$H$605</f>
        <v>0.009140838162008792</v>
      </c>
    </row>
    <row r="531" spans="2:9" s="18" customFormat="1" ht="12.75">
      <c r="B531" t="s">
        <v>377</v>
      </c>
      <c r="D531" s="19"/>
      <c r="E531" s="19"/>
      <c r="H531" s="42">
        <v>50000</v>
      </c>
      <c r="I531" s="57">
        <f>H531/$H$605</f>
        <v>0.0008309852874553447</v>
      </c>
    </row>
    <row r="532" spans="2:9" s="17" customFormat="1" ht="12.75">
      <c r="B532" s="17" t="s">
        <v>378</v>
      </c>
      <c r="D532" s="22"/>
      <c r="E532" s="22"/>
      <c r="H532" s="38"/>
      <c r="I532" s="57"/>
    </row>
    <row r="533" spans="2:9" s="17" customFormat="1" ht="12.75">
      <c r="B533" s="17" t="s">
        <v>280</v>
      </c>
      <c r="D533" s="22"/>
      <c r="E533" s="22"/>
      <c r="H533" s="38">
        <v>80000</v>
      </c>
      <c r="I533" s="57">
        <f>H533/$H$605</f>
        <v>0.0013295764599285515</v>
      </c>
    </row>
    <row r="534" spans="4:9" s="17" customFormat="1" ht="12.75">
      <c r="D534" s="22"/>
      <c r="E534" s="22"/>
      <c r="H534" s="38"/>
      <c r="I534" s="57"/>
    </row>
    <row r="535" spans="2:9" s="17" customFormat="1" ht="12.75">
      <c r="B535" s="31" t="s">
        <v>379</v>
      </c>
      <c r="D535" s="22"/>
      <c r="E535" s="22"/>
      <c r="H535" s="38"/>
      <c r="I535" s="57"/>
    </row>
    <row r="536" spans="2:9" ht="12.75">
      <c r="B536" t="s">
        <v>281</v>
      </c>
      <c r="H536" s="40"/>
      <c r="I536" s="57"/>
    </row>
    <row r="537" spans="2:9" ht="12.75">
      <c r="B537" t="s">
        <v>282</v>
      </c>
      <c r="H537" s="40"/>
      <c r="I537" s="57"/>
    </row>
    <row r="538" spans="2:9" ht="12.75">
      <c r="B538" t="s">
        <v>304</v>
      </c>
      <c r="H538" s="40"/>
      <c r="I538" s="57"/>
    </row>
    <row r="539" spans="2:9" ht="12.75">
      <c r="B539" t="s">
        <v>305</v>
      </c>
      <c r="H539" s="40">
        <v>435000</v>
      </c>
      <c r="I539" s="57">
        <f>H539/$H$605</f>
        <v>0.007229572000861499</v>
      </c>
    </row>
    <row r="540" spans="2:9" ht="12.75">
      <c r="B540" t="s">
        <v>380</v>
      </c>
      <c r="H540" s="40"/>
      <c r="I540" s="57"/>
    </row>
    <row r="541" spans="2:9" ht="12.75">
      <c r="B541" t="s">
        <v>307</v>
      </c>
      <c r="H541" s="40"/>
      <c r="I541" s="57"/>
    </row>
    <row r="542" spans="2:9" ht="12.75">
      <c r="B542" t="s">
        <v>308</v>
      </c>
      <c r="H542" s="40"/>
      <c r="I542" s="57"/>
    </row>
    <row r="543" spans="2:9" ht="12.75">
      <c r="B543" t="s">
        <v>570</v>
      </c>
      <c r="E543" s="40">
        <f>75000+1200000</f>
        <v>1275000</v>
      </c>
      <c r="F543" t="s">
        <v>566</v>
      </c>
      <c r="H543" s="40">
        <v>1775000</v>
      </c>
      <c r="I543" s="57">
        <f>H543/$H$605</f>
        <v>0.029499977704664736</v>
      </c>
    </row>
    <row r="544" spans="2:9" ht="12.75">
      <c r="B544" t="s">
        <v>381</v>
      </c>
      <c r="H544" s="40">
        <f>5000+272000+25000</f>
        <v>302000</v>
      </c>
      <c r="I544" s="57">
        <f>H544/$H$605</f>
        <v>0.005019151136230282</v>
      </c>
    </row>
    <row r="545" spans="2:9" ht="12.75">
      <c r="B545" t="s">
        <v>382</v>
      </c>
      <c r="H545" s="40"/>
      <c r="I545" s="57"/>
    </row>
    <row r="546" spans="2:9" ht="12.75">
      <c r="B546" t="s">
        <v>336</v>
      </c>
      <c r="H546" s="40">
        <v>154000</v>
      </c>
      <c r="I546" s="57">
        <f>H546/$H$605</f>
        <v>0.002559434685362462</v>
      </c>
    </row>
    <row r="547" spans="2:9" ht="12.75">
      <c r="B547" t="s">
        <v>383</v>
      </c>
      <c r="H547" s="40"/>
      <c r="I547" s="57"/>
    </row>
    <row r="548" spans="2:9" ht="12.75">
      <c r="B548" t="s">
        <v>337</v>
      </c>
      <c r="H548" s="40"/>
      <c r="I548" s="57"/>
    </row>
    <row r="549" spans="2:9" ht="12.75">
      <c r="B549" t="s">
        <v>338</v>
      </c>
      <c r="H549" s="40">
        <f>100000+30000+30000</f>
        <v>160000</v>
      </c>
      <c r="I549" s="57">
        <f>H549/$H$605</f>
        <v>0.002659152919857103</v>
      </c>
    </row>
    <row r="550" spans="2:9" ht="12.75">
      <c r="B550" t="s">
        <v>384</v>
      </c>
      <c r="H550" s="40">
        <v>5000</v>
      </c>
      <c r="I550" s="57">
        <f>H550/$H$605</f>
        <v>8.309852874553447E-05</v>
      </c>
    </row>
    <row r="551" spans="2:9" ht="12.75">
      <c r="B551" t="s">
        <v>385</v>
      </c>
      <c r="H551" s="40"/>
      <c r="I551" s="57"/>
    </row>
    <row r="552" spans="2:11" ht="12.75">
      <c r="B552" t="s">
        <v>339</v>
      </c>
      <c r="H552" s="40">
        <f>5000+17000</f>
        <v>22000</v>
      </c>
      <c r="I552" s="57">
        <f>H552/$H$605</f>
        <v>0.0003656335264803517</v>
      </c>
      <c r="K552" s="36"/>
    </row>
    <row r="553" spans="2:9" ht="12.75">
      <c r="B553" t="s">
        <v>386</v>
      </c>
      <c r="H553" s="40"/>
      <c r="I553" s="57"/>
    </row>
    <row r="554" spans="2:9" ht="12.75">
      <c r="B554" t="s">
        <v>340</v>
      </c>
      <c r="H554" s="40">
        <v>210000</v>
      </c>
      <c r="I554" s="57">
        <f>H554/$H$605</f>
        <v>0.003490138207312448</v>
      </c>
    </row>
    <row r="555" spans="8:9" ht="12.75">
      <c r="H555" s="40"/>
      <c r="I555" s="57"/>
    </row>
    <row r="556" spans="1:9" s="18" customFormat="1" ht="12.75">
      <c r="A556" s="18" t="s">
        <v>53</v>
      </c>
      <c r="B556" s="18" t="s">
        <v>131</v>
      </c>
      <c r="D556" s="19"/>
      <c r="E556" s="19"/>
      <c r="H556" s="41">
        <f>SUM(H558:H576)</f>
        <v>5483346</v>
      </c>
      <c r="I556" s="56">
        <f>H556/$H$605</f>
        <v>0.09113159704054229</v>
      </c>
    </row>
    <row r="557" spans="2:9" s="17" customFormat="1" ht="12.75">
      <c r="B557" s="17" t="s">
        <v>341</v>
      </c>
      <c r="D557" s="22"/>
      <c r="E557" s="22"/>
      <c r="H557" s="38"/>
      <c r="I557" s="57"/>
    </row>
    <row r="558" spans="2:9" s="17" customFormat="1" ht="12.75">
      <c r="B558" s="6" t="s">
        <v>571</v>
      </c>
      <c r="D558" s="22"/>
      <c r="E558" s="22"/>
      <c r="H558" s="38"/>
      <c r="I558" s="57"/>
    </row>
    <row r="559" spans="2:9" s="17" customFormat="1" ht="12.75">
      <c r="B559" s="38">
        <v>349000</v>
      </c>
      <c r="C559" s="17" t="s">
        <v>566</v>
      </c>
      <c r="D559" s="22"/>
      <c r="E559" s="22"/>
      <c r="H559" s="38">
        <v>1190294</v>
      </c>
      <c r="I559" s="57">
        <f>H559/$H$605</f>
        <v>0.01978233603492744</v>
      </c>
    </row>
    <row r="560" spans="2:9" s="17" customFormat="1" ht="12.75">
      <c r="B560" t="s">
        <v>342</v>
      </c>
      <c r="C560"/>
      <c r="D560" s="4"/>
      <c r="E560" s="4"/>
      <c r="F560"/>
      <c r="G560"/>
      <c r="H560" s="40"/>
      <c r="I560" s="57"/>
    </row>
    <row r="561" spans="2:9" s="17" customFormat="1" ht="12.75">
      <c r="B561" t="s">
        <v>323</v>
      </c>
      <c r="C561"/>
      <c r="D561" s="4"/>
      <c r="E561" s="4"/>
      <c r="F561"/>
      <c r="G561"/>
      <c r="H561" s="40">
        <f>50000+250000</f>
        <v>300000</v>
      </c>
      <c r="I561" s="57">
        <f>H561/$H$605</f>
        <v>0.004985911724732069</v>
      </c>
    </row>
    <row r="562" spans="2:9" s="17" customFormat="1" ht="12.75">
      <c r="B562" s="17" t="s">
        <v>343</v>
      </c>
      <c r="D562" s="22"/>
      <c r="E562" s="22"/>
      <c r="H562" s="38">
        <v>3100000</v>
      </c>
      <c r="I562" s="57">
        <f>H562/$H$605</f>
        <v>0.05152108782223137</v>
      </c>
    </row>
    <row r="563" spans="2:9" s="17" customFormat="1" ht="12.75">
      <c r="B563" s="17" t="s">
        <v>344</v>
      </c>
      <c r="D563" s="22"/>
      <c r="E563" s="22"/>
      <c r="H563" s="38"/>
      <c r="I563" s="57"/>
    </row>
    <row r="564" spans="2:9" s="17" customFormat="1" ht="12.75">
      <c r="B564" s="17" t="s">
        <v>345</v>
      </c>
      <c r="D564" s="22"/>
      <c r="E564" s="22"/>
      <c r="I564" s="57"/>
    </row>
    <row r="565" spans="2:9" s="17" customFormat="1" ht="12.75">
      <c r="B565" s="17" t="s">
        <v>346</v>
      </c>
      <c r="D565" s="22"/>
      <c r="E565" s="22"/>
      <c r="H565" s="38"/>
      <c r="I565" s="57"/>
    </row>
    <row r="566" spans="2:9" s="17" customFormat="1" ht="12.75">
      <c r="B566" s="17" t="s">
        <v>347</v>
      </c>
      <c r="D566" s="22"/>
      <c r="E566" s="22"/>
      <c r="H566" s="38">
        <v>300000</v>
      </c>
      <c r="I566" s="57">
        <f>H566/$H$605</f>
        <v>0.004985911724732069</v>
      </c>
    </row>
    <row r="567" spans="2:9" ht="12.75">
      <c r="B567" s="17" t="s">
        <v>348</v>
      </c>
      <c r="H567" s="40"/>
      <c r="I567" s="57"/>
    </row>
    <row r="568" spans="2:9" ht="12.75">
      <c r="B568" s="17" t="s">
        <v>350</v>
      </c>
      <c r="H568" s="40"/>
      <c r="I568" s="57"/>
    </row>
    <row r="569" spans="2:9" ht="12.75">
      <c r="B569" s="17" t="s">
        <v>349</v>
      </c>
      <c r="H569" s="40">
        <v>200000</v>
      </c>
      <c r="I569" s="57">
        <f>H569/$H$605</f>
        <v>0.003323941149821379</v>
      </c>
    </row>
    <row r="570" spans="2:9" ht="12.75">
      <c r="B570" s="17" t="s">
        <v>352</v>
      </c>
      <c r="H570" s="40"/>
      <c r="I570" s="57"/>
    </row>
    <row r="571" spans="2:9" ht="12.75">
      <c r="B571" s="17" t="s">
        <v>353</v>
      </c>
      <c r="H571" s="40"/>
      <c r="I571" s="57"/>
    </row>
    <row r="572" spans="2:9" ht="12.75">
      <c r="B572" s="17" t="s">
        <v>354</v>
      </c>
      <c r="H572" s="40"/>
      <c r="I572" s="57"/>
    </row>
    <row r="573" spans="2:9" ht="12.75">
      <c r="B573" s="17" t="s">
        <v>355</v>
      </c>
      <c r="H573" s="40">
        <v>360052</v>
      </c>
      <c r="I573" s="57">
        <f>H573/$H$605</f>
        <v>0.005983958294377436</v>
      </c>
    </row>
    <row r="574" spans="2:9" ht="12.75">
      <c r="B574" s="17" t="s">
        <v>356</v>
      </c>
      <c r="H574" s="40"/>
      <c r="I574" s="57"/>
    </row>
    <row r="575" spans="2:9" ht="12.75">
      <c r="B575" s="17" t="s">
        <v>357</v>
      </c>
      <c r="H575" s="40"/>
      <c r="I575" s="57"/>
    </row>
    <row r="576" spans="2:9" ht="12.75">
      <c r="B576" s="17" t="s">
        <v>358</v>
      </c>
      <c r="H576" s="40">
        <v>33000</v>
      </c>
      <c r="I576" s="57">
        <f>H576/$H$605</f>
        <v>0.0005484502897205275</v>
      </c>
    </row>
    <row r="577" spans="2:9" ht="12.75">
      <c r="B577" s="17"/>
      <c r="H577" s="40"/>
      <c r="I577" s="57"/>
    </row>
    <row r="578" spans="1:9" s="3" customFormat="1" ht="12.75">
      <c r="A578" s="3" t="s">
        <v>251</v>
      </c>
      <c r="B578" s="3" t="s">
        <v>252</v>
      </c>
      <c r="D578" s="8"/>
      <c r="E578" s="8"/>
      <c r="H578" s="39">
        <f>SUM(H582:H602)</f>
        <v>3332522</v>
      </c>
      <c r="I578" s="56">
        <f>H578/H$605</f>
        <v>0.05538553504242521</v>
      </c>
    </row>
    <row r="579" spans="2:8" ht="12.75">
      <c r="B579" t="s">
        <v>366</v>
      </c>
      <c r="H579" s="36"/>
    </row>
    <row r="580" spans="2:9" ht="12.75">
      <c r="B580" t="s">
        <v>367</v>
      </c>
      <c r="H580" s="40"/>
      <c r="I580" s="57"/>
    </row>
    <row r="581" spans="2:9" ht="12.75">
      <c r="B581" t="s">
        <v>293</v>
      </c>
      <c r="H581" s="40"/>
      <c r="I581" s="57"/>
    </row>
    <row r="582" spans="2:9" ht="12.75">
      <c r="B582" t="s">
        <v>572</v>
      </c>
      <c r="D582" s="40">
        <v>315000</v>
      </c>
      <c r="E582" s="4" t="s">
        <v>566</v>
      </c>
      <c r="H582" s="40">
        <v>1050022</v>
      </c>
      <c r="I582" s="57">
        <f>H582/H$605</f>
        <v>0.01745105667008872</v>
      </c>
    </row>
    <row r="583" spans="2:9" ht="12.75">
      <c r="B583" t="s">
        <v>369</v>
      </c>
      <c r="H583" s="40"/>
      <c r="I583" s="57"/>
    </row>
    <row r="584" spans="2:9" ht="12.75">
      <c r="B584" t="s">
        <v>367</v>
      </c>
      <c r="H584" s="40">
        <f>500000-400000</f>
        <v>100000</v>
      </c>
      <c r="I584" s="57">
        <f>H584/H$605</f>
        <v>0.0016619705749106894</v>
      </c>
    </row>
    <row r="585" spans="2:9" ht="12.75">
      <c r="B585" t="s">
        <v>368</v>
      </c>
      <c r="H585" s="40"/>
      <c r="I585" s="57"/>
    </row>
    <row r="586" spans="2:9" ht="12.75">
      <c r="B586" t="s">
        <v>322</v>
      </c>
      <c r="H586" s="40">
        <v>1000000</v>
      </c>
      <c r="I586" s="57">
        <f>H586/H$605</f>
        <v>0.016619705749106893</v>
      </c>
    </row>
    <row r="587" spans="2:9" ht="12.75">
      <c r="B587" t="s">
        <v>370</v>
      </c>
      <c r="H587" s="40">
        <v>150000</v>
      </c>
      <c r="I587" s="57">
        <f>H587/H$605</f>
        <v>0.0024929558623660343</v>
      </c>
    </row>
    <row r="588" spans="2:9" ht="12.75">
      <c r="B588" t="s">
        <v>509</v>
      </c>
      <c r="H588" s="40"/>
      <c r="I588" s="57"/>
    </row>
    <row r="589" spans="2:9" ht="12.75">
      <c r="B589" t="s">
        <v>324</v>
      </c>
      <c r="H589" s="40">
        <v>82000</v>
      </c>
      <c r="I589" s="57">
        <f>H589/H$605</f>
        <v>0.0013628158714267652</v>
      </c>
    </row>
    <row r="590" spans="2:9" ht="12.75">
      <c r="B590" t="s">
        <v>371</v>
      </c>
      <c r="H590" s="40"/>
      <c r="I590" s="57"/>
    </row>
    <row r="591" spans="2:9" ht="12.75">
      <c r="B591" t="s">
        <v>287</v>
      </c>
      <c r="H591" s="40">
        <v>108000</v>
      </c>
      <c r="I591" s="57">
        <f>H591/H$605</f>
        <v>0.0017949282209035447</v>
      </c>
    </row>
    <row r="592" spans="2:9" ht="12.75">
      <c r="B592" t="s">
        <v>372</v>
      </c>
      <c r="H592" s="40"/>
      <c r="I592" s="57"/>
    </row>
    <row r="593" spans="2:9" ht="12.75">
      <c r="B593" t="s">
        <v>351</v>
      </c>
      <c r="H593" s="40">
        <v>250000</v>
      </c>
      <c r="I593" s="57">
        <f>H593/H$605</f>
        <v>0.004154926437276723</v>
      </c>
    </row>
    <row r="594" spans="8:9" ht="12.75">
      <c r="H594" s="40"/>
      <c r="I594" s="57"/>
    </row>
    <row r="595" spans="2:9" ht="12.75">
      <c r="B595" t="s">
        <v>375</v>
      </c>
      <c r="H595" s="40"/>
      <c r="I595" s="57"/>
    </row>
    <row r="596" spans="2:9" ht="12.75">
      <c r="B596" t="s">
        <v>359</v>
      </c>
      <c r="H596" s="40"/>
      <c r="I596" s="57"/>
    </row>
    <row r="597" spans="2:9" ht="12.75">
      <c r="B597" t="s">
        <v>360</v>
      </c>
      <c r="H597" s="40"/>
      <c r="I597" s="57"/>
    </row>
    <row r="598" spans="2:9" ht="12.75">
      <c r="B598" t="s">
        <v>361</v>
      </c>
      <c r="H598" s="40"/>
      <c r="I598" s="57"/>
    </row>
    <row r="599" spans="2:9" ht="12.75">
      <c r="B599" t="s">
        <v>362</v>
      </c>
      <c r="H599" s="40"/>
      <c r="I599" s="57"/>
    </row>
    <row r="600" spans="2:9" ht="12.75">
      <c r="B600" t="s">
        <v>363</v>
      </c>
      <c r="H600" s="40"/>
      <c r="I600" s="57"/>
    </row>
    <row r="601" spans="2:9" ht="12.75">
      <c r="B601" t="s">
        <v>364</v>
      </c>
      <c r="H601" s="40"/>
      <c r="I601" s="57"/>
    </row>
    <row r="602" spans="2:9" ht="12.75">
      <c r="B602" t="s">
        <v>365</v>
      </c>
      <c r="H602" s="40">
        <v>592500</v>
      </c>
      <c r="I602" s="57">
        <f>H602/H$605</f>
        <v>0.009847175656345835</v>
      </c>
    </row>
    <row r="603" spans="1:9" ht="12.75">
      <c r="A603" s="3" t="s">
        <v>75</v>
      </c>
      <c r="B603" s="3" t="s">
        <v>373</v>
      </c>
      <c r="H603" s="39">
        <f>H604</f>
        <v>60000</v>
      </c>
      <c r="I603" s="56">
        <f>H603/H$605</f>
        <v>0.0009971823449464138</v>
      </c>
    </row>
    <row r="604" spans="2:9" ht="12.75">
      <c r="B604" t="s">
        <v>374</v>
      </c>
      <c r="H604" s="40">
        <v>60000</v>
      </c>
      <c r="I604" s="57">
        <f>H604/H$605</f>
        <v>0.0009971823449464138</v>
      </c>
    </row>
    <row r="605" spans="2:11" s="1" customFormat="1" ht="15">
      <c r="B605" s="1" t="s">
        <v>31</v>
      </c>
      <c r="D605" s="11"/>
      <c r="E605" s="11"/>
      <c r="H605" s="39">
        <f>H416+H252</f>
        <v>60169537</v>
      </c>
      <c r="I605" s="56">
        <f>H605/H$605</f>
        <v>1</v>
      </c>
      <c r="K605" s="63"/>
    </row>
    <row r="606" spans="1:9" s="24" customFormat="1" ht="15">
      <c r="A606" s="23" t="s">
        <v>222</v>
      </c>
      <c r="D606" s="25"/>
      <c r="E606" s="25"/>
      <c r="H606" s="44"/>
      <c r="I606" s="53"/>
    </row>
    <row r="607" spans="6:8" ht="12.75">
      <c r="F607" s="4"/>
      <c r="G607" s="4"/>
      <c r="H607" s="36"/>
    </row>
    <row r="608" spans="1:9" s="18" customFormat="1" ht="12.75">
      <c r="A608" s="18" t="s">
        <v>53</v>
      </c>
      <c r="B608" s="18" t="s">
        <v>98</v>
      </c>
      <c r="D608" s="19"/>
      <c r="E608" s="19"/>
      <c r="H608" s="35"/>
      <c r="I608" s="50"/>
    </row>
    <row r="609" spans="4:9" s="18" customFormat="1" ht="12.75">
      <c r="D609" s="19"/>
      <c r="E609" s="19"/>
      <c r="H609" s="35"/>
      <c r="I609" s="50"/>
    </row>
    <row r="610" spans="2:9" s="17" customFormat="1" ht="12.75">
      <c r="B610" s="17" t="s">
        <v>188</v>
      </c>
      <c r="D610" s="22"/>
      <c r="E610" s="22"/>
      <c r="H610" s="33">
        <v>24408</v>
      </c>
      <c r="I610" s="48"/>
    </row>
    <row r="611" spans="2:9" s="29" customFormat="1" ht="12.75">
      <c r="B611" s="29" t="s">
        <v>99</v>
      </c>
      <c r="D611" s="30"/>
      <c r="E611" s="30"/>
      <c r="H611" s="45"/>
      <c r="I611" s="58"/>
    </row>
    <row r="612" spans="2:9" s="29" customFormat="1" ht="12.75">
      <c r="B612" s="29" t="s">
        <v>133</v>
      </c>
      <c r="D612" s="30"/>
      <c r="E612" s="30"/>
      <c r="H612" s="45">
        <v>51500</v>
      </c>
      <c r="I612" s="58"/>
    </row>
    <row r="613" spans="4:9" s="29" customFormat="1" ht="12.75">
      <c r="D613" s="30"/>
      <c r="E613" s="30"/>
      <c r="H613" s="45"/>
      <c r="I613" s="58"/>
    </row>
    <row r="614" spans="2:9" s="29" customFormat="1" ht="12.75">
      <c r="B614" s="29" t="s">
        <v>78</v>
      </c>
      <c r="D614" s="30"/>
      <c r="E614" s="30"/>
      <c r="H614" s="45">
        <f>SUM(F616:F631)</f>
        <v>73000</v>
      </c>
      <c r="I614" s="58"/>
    </row>
    <row r="615" spans="2:10" ht="12.75">
      <c r="B615" t="s">
        <v>15</v>
      </c>
      <c r="H615" s="36"/>
      <c r="J615" s="36"/>
    </row>
    <row r="616" spans="1:9" s="47" customFormat="1" ht="12.75">
      <c r="A616" s="6"/>
      <c r="B616" s="6" t="s">
        <v>482</v>
      </c>
      <c r="C616" s="6"/>
      <c r="D616" s="9"/>
      <c r="E616" s="9"/>
      <c r="F616" s="60">
        <v>25000</v>
      </c>
      <c r="G616" s="6"/>
      <c r="H616" s="37"/>
      <c r="I616" s="48"/>
    </row>
    <row r="617" spans="1:9" s="47" customFormat="1" ht="12.75">
      <c r="A617" s="6"/>
      <c r="B617" s="6" t="s">
        <v>483</v>
      </c>
      <c r="C617" s="6"/>
      <c r="D617" s="9"/>
      <c r="E617" s="9"/>
      <c r="F617" s="6"/>
      <c r="G617" s="6"/>
      <c r="H617" s="37"/>
      <c r="I617" s="48"/>
    </row>
    <row r="618" spans="1:9" s="47" customFormat="1" ht="12.75">
      <c r="A618" s="6"/>
      <c r="B618" s="6" t="s">
        <v>484</v>
      </c>
      <c r="C618" s="6"/>
      <c r="D618" s="9"/>
      <c r="E618" s="9"/>
      <c r="F618" s="6"/>
      <c r="G618" s="6"/>
      <c r="H618" s="37"/>
      <c r="I618" s="48"/>
    </row>
    <row r="619" spans="2:8" ht="12.75">
      <c r="B619" t="s">
        <v>485</v>
      </c>
      <c r="F619" s="60">
        <v>3000</v>
      </c>
      <c r="H619" s="36"/>
    </row>
    <row r="620" spans="2:8" ht="12.75">
      <c r="B620" t="s">
        <v>486</v>
      </c>
      <c r="F620" s="60">
        <v>6000</v>
      </c>
      <c r="H620" s="36"/>
    </row>
    <row r="621" spans="2:8" ht="12.75">
      <c r="B621" t="s">
        <v>488</v>
      </c>
      <c r="F621" s="60"/>
      <c r="H621" s="36"/>
    </row>
    <row r="622" spans="2:8" ht="12.75">
      <c r="B622" t="s">
        <v>489</v>
      </c>
      <c r="F622" s="60"/>
      <c r="H622" s="36"/>
    </row>
    <row r="623" spans="2:8" ht="12.75">
      <c r="B623" t="s">
        <v>490</v>
      </c>
      <c r="F623" s="60">
        <v>5000</v>
      </c>
      <c r="H623" s="36"/>
    </row>
    <row r="624" spans="2:8" ht="12.75">
      <c r="B624" s="48" t="s">
        <v>491</v>
      </c>
      <c r="F624" s="60">
        <f>2000+500</f>
        <v>2500</v>
      </c>
      <c r="H624" s="36"/>
    </row>
    <row r="625" spans="2:8" ht="12.75">
      <c r="B625" t="s">
        <v>492</v>
      </c>
      <c r="F625" s="60">
        <v>7000</v>
      </c>
      <c r="H625" s="36"/>
    </row>
    <row r="626" spans="2:8" ht="12.75">
      <c r="B626" t="s">
        <v>493</v>
      </c>
      <c r="F626" s="60">
        <v>20000</v>
      </c>
      <c r="H626" s="36"/>
    </row>
    <row r="627" spans="2:8" ht="12.75">
      <c r="B627" t="s">
        <v>494</v>
      </c>
      <c r="F627" s="60"/>
      <c r="H627" s="36"/>
    </row>
    <row r="628" spans="2:8" ht="12.75">
      <c r="B628" t="s">
        <v>487</v>
      </c>
      <c r="F628" s="60">
        <v>2000</v>
      </c>
      <c r="H628" s="36"/>
    </row>
    <row r="629" spans="2:8" ht="12.75">
      <c r="B629" t="s">
        <v>495</v>
      </c>
      <c r="F629" s="60"/>
      <c r="H629" s="36"/>
    </row>
    <row r="630" spans="2:8" ht="12.75">
      <c r="B630" t="s">
        <v>255</v>
      </c>
      <c r="F630" s="60">
        <v>2000</v>
      </c>
      <c r="H630" s="36"/>
    </row>
    <row r="631" spans="2:8" ht="12.75">
      <c r="B631" t="s">
        <v>256</v>
      </c>
      <c r="F631" s="60">
        <v>500</v>
      </c>
      <c r="H631" s="36"/>
    </row>
    <row r="632" spans="6:8" ht="12.75">
      <c r="F632" s="4"/>
      <c r="H632" s="36"/>
    </row>
    <row r="633" spans="2:8" ht="12.75">
      <c r="B633" s="17" t="s">
        <v>189</v>
      </c>
      <c r="F633" s="4"/>
      <c r="H633" s="36">
        <f>H610+H612-H614</f>
        <v>2908</v>
      </c>
    </row>
    <row r="634" spans="6:8" ht="12.75">
      <c r="F634" s="4"/>
      <c r="G634" s="4"/>
      <c r="H634" s="36"/>
    </row>
    <row r="635" spans="1:9" s="18" customFormat="1" ht="12.75">
      <c r="A635" s="18" t="s">
        <v>53</v>
      </c>
      <c r="B635" s="18" t="s">
        <v>80</v>
      </c>
      <c r="D635" s="19"/>
      <c r="E635" s="19"/>
      <c r="F635" s="19"/>
      <c r="G635" s="19"/>
      <c r="H635" s="35"/>
      <c r="I635" s="50"/>
    </row>
    <row r="636" spans="4:9" s="18" customFormat="1" ht="12.75">
      <c r="D636" s="19"/>
      <c r="E636" s="19"/>
      <c r="F636" s="19"/>
      <c r="G636" s="19"/>
      <c r="H636" s="35"/>
      <c r="I636" s="50"/>
    </row>
    <row r="637" spans="2:9" s="17" customFormat="1" ht="12.75">
      <c r="B637" s="17" t="s">
        <v>190</v>
      </c>
      <c r="D637" s="22"/>
      <c r="E637" s="22"/>
      <c r="F637" s="22"/>
      <c r="G637" s="22"/>
      <c r="H637" s="33">
        <v>84130.72</v>
      </c>
      <c r="I637" s="48"/>
    </row>
    <row r="638" spans="6:8" ht="12.75">
      <c r="F638" s="4"/>
      <c r="G638" s="4"/>
      <c r="H638" s="36"/>
    </row>
    <row r="639" spans="2:9" s="29" customFormat="1" ht="12.75">
      <c r="B639" s="29" t="s">
        <v>77</v>
      </c>
      <c r="D639" s="30"/>
      <c r="E639" s="30"/>
      <c r="F639" s="30"/>
      <c r="G639" s="30"/>
      <c r="H639" s="45">
        <f>SUM(H641:H647)</f>
        <v>3264800</v>
      </c>
      <c r="I639" s="58"/>
    </row>
    <row r="640" spans="2:8" ht="12.75">
      <c r="B640" t="s">
        <v>15</v>
      </c>
      <c r="F640" s="4"/>
      <c r="G640" s="4"/>
      <c r="H640" s="36"/>
    </row>
    <row r="641" spans="2:8" ht="12.75">
      <c r="B641" t="s">
        <v>81</v>
      </c>
      <c r="F641" s="4"/>
      <c r="G641" s="4"/>
      <c r="H641" s="36">
        <v>1260000</v>
      </c>
    </row>
    <row r="642" spans="2:8" ht="12.75">
      <c r="B642" t="s">
        <v>82</v>
      </c>
      <c r="F642" s="4"/>
      <c r="G642" s="4"/>
      <c r="H642" s="36">
        <v>1884800</v>
      </c>
    </row>
    <row r="643" spans="2:8" ht="12.75">
      <c r="B643" t="s">
        <v>257</v>
      </c>
      <c r="F643" s="4"/>
      <c r="G643" s="4"/>
      <c r="H643" s="36"/>
    </row>
    <row r="644" spans="2:8" ht="12.75">
      <c r="B644" t="s">
        <v>258</v>
      </c>
      <c r="F644" s="4"/>
      <c r="G644" s="4"/>
      <c r="H644" s="36"/>
    </row>
    <row r="645" spans="2:8" ht="12.75">
      <c r="B645" t="s">
        <v>259</v>
      </c>
      <c r="F645" s="4"/>
      <c r="G645" s="4"/>
      <c r="H645" s="36"/>
    </row>
    <row r="646" spans="2:8" ht="12.75">
      <c r="B646" t="s">
        <v>260</v>
      </c>
      <c r="F646" s="4"/>
      <c r="G646" s="4"/>
      <c r="H646" s="36"/>
    </row>
    <row r="647" spans="2:8" ht="12.75">
      <c r="B647" t="s">
        <v>496</v>
      </c>
      <c r="F647" s="4"/>
      <c r="G647" s="4"/>
      <c r="H647" s="36">
        <v>120000</v>
      </c>
    </row>
    <row r="648" spans="6:8" ht="12.75">
      <c r="F648" s="4"/>
      <c r="G648" s="4"/>
      <c r="H648" s="36"/>
    </row>
    <row r="649" spans="2:9" s="29" customFormat="1" ht="12.75">
      <c r="B649" s="29" t="s">
        <v>155</v>
      </c>
      <c r="D649" s="30"/>
      <c r="E649" s="30"/>
      <c r="F649" s="30"/>
      <c r="G649" s="30"/>
      <c r="H649" s="45">
        <v>3255350</v>
      </c>
      <c r="I649" s="58"/>
    </row>
    <row r="650" spans="2:8" ht="12.75">
      <c r="B650" t="s">
        <v>79</v>
      </c>
      <c r="F650" s="4"/>
      <c r="G650" s="4"/>
      <c r="H650" s="36"/>
    </row>
    <row r="651" spans="2:8" ht="12.75">
      <c r="B651" t="s">
        <v>223</v>
      </c>
      <c r="F651" s="4"/>
      <c r="G651" s="4"/>
      <c r="H651" s="36">
        <f>1195120+96700+229900+31130+30000</f>
        <v>1582850</v>
      </c>
    </row>
    <row r="652" spans="6:8" ht="12.75">
      <c r="F652" s="4"/>
      <c r="G652" s="4"/>
      <c r="H652" s="36"/>
    </row>
    <row r="653" spans="6:8" ht="12.75">
      <c r="F653" s="4"/>
      <c r="G653" s="4"/>
      <c r="H653" s="36"/>
    </row>
    <row r="654" spans="2:8" ht="12.75">
      <c r="B654" t="s">
        <v>83</v>
      </c>
      <c r="F654" s="4"/>
      <c r="G654" s="4"/>
      <c r="H654" s="36"/>
    </row>
    <row r="655" spans="2:8" ht="12.75">
      <c r="B655" t="s">
        <v>84</v>
      </c>
      <c r="F655" s="4"/>
      <c r="G655" s="4"/>
      <c r="H655" s="36"/>
    </row>
    <row r="656" spans="2:8" ht="12.75">
      <c r="B656" t="s">
        <v>85</v>
      </c>
      <c r="H656" s="36"/>
    </row>
    <row r="657" spans="2:8" ht="12.75">
      <c r="B657" t="s">
        <v>86</v>
      </c>
      <c r="F657" s="4"/>
      <c r="G657" s="4"/>
      <c r="H657" s="36">
        <v>300000</v>
      </c>
    </row>
    <row r="658" spans="2:8" ht="12.75">
      <c r="B658" t="s">
        <v>132</v>
      </c>
      <c r="F658" s="4"/>
      <c r="G658" s="4"/>
      <c r="H658" s="36">
        <v>370000</v>
      </c>
    </row>
    <row r="659" spans="2:8" ht="12.75">
      <c r="B659" t="s">
        <v>111</v>
      </c>
      <c r="F659" s="4"/>
      <c r="G659" s="4"/>
      <c r="H659" s="36"/>
    </row>
    <row r="660" spans="2:8" ht="12.75">
      <c r="B660" t="s">
        <v>112</v>
      </c>
      <c r="F660" s="4"/>
      <c r="G660" s="4"/>
      <c r="H660" s="36"/>
    </row>
    <row r="661" spans="2:8" ht="12.75">
      <c r="B661" t="s">
        <v>113</v>
      </c>
      <c r="F661" s="4"/>
      <c r="G661" s="4"/>
      <c r="H661" s="36"/>
    </row>
    <row r="662" spans="2:8" ht="12.75">
      <c r="B662" t="s">
        <v>114</v>
      </c>
      <c r="F662" s="4"/>
      <c r="G662" s="4"/>
      <c r="H662" s="36">
        <v>125000</v>
      </c>
    </row>
    <row r="663" spans="2:8" ht="12.75">
      <c r="B663" t="s">
        <v>115</v>
      </c>
      <c r="F663" s="4"/>
      <c r="G663" s="4"/>
      <c r="H663" s="36"/>
    </row>
    <row r="664" spans="2:8" ht="12.75">
      <c r="B664" t="s">
        <v>116</v>
      </c>
      <c r="F664" s="4"/>
      <c r="G664" s="4"/>
      <c r="H664" s="36"/>
    </row>
    <row r="665" spans="2:8" ht="12.75">
      <c r="B665" t="s">
        <v>117</v>
      </c>
      <c r="F665" s="4"/>
      <c r="G665" s="4"/>
      <c r="H665" s="36"/>
    </row>
    <row r="666" spans="2:8" ht="12.75">
      <c r="B666" t="s">
        <v>118</v>
      </c>
      <c r="F666" s="4"/>
      <c r="G666" s="4"/>
      <c r="H666" s="36">
        <v>230000</v>
      </c>
    </row>
    <row r="667" spans="2:8" ht="12.75">
      <c r="B667" t="s">
        <v>87</v>
      </c>
      <c r="F667" s="36"/>
      <c r="G667" s="4"/>
      <c r="H667" s="36">
        <f>SUM(F668:F671)</f>
        <v>526000</v>
      </c>
    </row>
    <row r="668" spans="2:8" ht="12.75">
      <c r="B668" t="s">
        <v>88</v>
      </c>
      <c r="F668" s="60">
        <v>360000</v>
      </c>
      <c r="G668" s="4"/>
      <c r="H668" s="36"/>
    </row>
    <row r="669" spans="2:8" ht="12.75">
      <c r="B669" t="s">
        <v>89</v>
      </c>
      <c r="F669" s="60">
        <v>1000</v>
      </c>
      <c r="G669" s="4"/>
      <c r="H669" s="36"/>
    </row>
    <row r="670" spans="2:8" ht="12.75">
      <c r="B670" t="s">
        <v>90</v>
      </c>
      <c r="F670" s="60"/>
      <c r="G670" s="4"/>
      <c r="H670" s="36"/>
    </row>
    <row r="671" spans="2:8" ht="12.75">
      <c r="B671" t="s">
        <v>91</v>
      </c>
      <c r="F671" s="60">
        <v>165000</v>
      </c>
      <c r="G671" s="4"/>
      <c r="H671" s="36"/>
    </row>
    <row r="672" ht="12.75">
      <c r="H672" s="36"/>
    </row>
    <row r="673" spans="2:8" ht="12.75">
      <c r="B673" t="s">
        <v>191</v>
      </c>
      <c r="H673" s="36">
        <f>H637+H639-H649</f>
        <v>93580.7200000002</v>
      </c>
    </row>
    <row r="674" spans="2:8" ht="12.75">
      <c r="B674" t="s">
        <v>92</v>
      </c>
      <c r="H674" s="36"/>
    </row>
    <row r="675" ht="12.75">
      <c r="H675" s="36"/>
    </row>
    <row r="676" spans="1:9" s="18" customFormat="1" ht="12.75">
      <c r="A676" s="18" t="s">
        <v>53</v>
      </c>
      <c r="B676" s="18" t="s">
        <v>93</v>
      </c>
      <c r="D676" s="19"/>
      <c r="E676" s="19"/>
      <c r="H676" s="35"/>
      <c r="I676" s="50"/>
    </row>
    <row r="677" spans="4:9" s="18" customFormat="1" ht="12.75">
      <c r="D677" s="19"/>
      <c r="E677" s="19"/>
      <c r="H677" s="35"/>
      <c r="I677" s="50"/>
    </row>
    <row r="678" spans="2:9" s="18" customFormat="1" ht="12.75">
      <c r="B678" t="s">
        <v>192</v>
      </c>
      <c r="D678" s="19"/>
      <c r="E678" s="19"/>
      <c r="H678" s="33">
        <v>1493</v>
      </c>
      <c r="I678" s="50"/>
    </row>
    <row r="679" ht="12.75">
      <c r="H679" s="36"/>
    </row>
    <row r="680" spans="2:9" s="29" customFormat="1" ht="12.75">
      <c r="B680" s="29" t="s">
        <v>77</v>
      </c>
      <c r="D680" s="30"/>
      <c r="E680" s="30"/>
      <c r="H680" s="45">
        <f>SUM(F685:F694)</f>
        <v>2784200</v>
      </c>
      <c r="I680" s="58"/>
    </row>
    <row r="681" spans="2:8" ht="12.75">
      <c r="B681" t="s">
        <v>15</v>
      </c>
      <c r="H681" s="36"/>
    </row>
    <row r="682" ht="12.75">
      <c r="H682" s="36"/>
    </row>
    <row r="683" spans="2:8" ht="12.75">
      <c r="B683" t="s">
        <v>119</v>
      </c>
      <c r="H683" s="36"/>
    </row>
    <row r="684" spans="2:8" ht="12.75">
      <c r="B684" t="s">
        <v>120</v>
      </c>
      <c r="H684" s="36"/>
    </row>
    <row r="685" spans="2:8" ht="12.75">
      <c r="B685" t="s">
        <v>121</v>
      </c>
      <c r="F685" s="46">
        <f>2362200-31500</f>
        <v>2330700</v>
      </c>
      <c r="G685" s="4"/>
      <c r="H685" s="36"/>
    </row>
    <row r="686" spans="2:8" ht="12.75">
      <c r="B686" t="s">
        <v>237</v>
      </c>
      <c r="F686" s="46">
        <v>31500</v>
      </c>
      <c r="G686" s="4"/>
      <c r="H686" s="36"/>
    </row>
    <row r="687" spans="2:8" ht="12.75">
      <c r="B687" t="s">
        <v>262</v>
      </c>
      <c r="F687" s="46"/>
      <c r="G687" s="4"/>
      <c r="H687" s="36"/>
    </row>
    <row r="688" spans="2:8" ht="12.75">
      <c r="B688" s="6" t="s">
        <v>497</v>
      </c>
      <c r="F688" s="46"/>
      <c r="G688" s="4"/>
      <c r="H688" s="36"/>
    </row>
    <row r="689" spans="2:8" ht="12.75">
      <c r="B689" s="6" t="s">
        <v>498</v>
      </c>
      <c r="F689" s="46">
        <v>122000</v>
      </c>
      <c r="G689" s="4"/>
      <c r="H689" s="36"/>
    </row>
    <row r="690" spans="2:8" ht="12.75">
      <c r="B690" s="6" t="s">
        <v>499</v>
      </c>
      <c r="F690" s="46"/>
      <c r="G690" s="4"/>
      <c r="H690" s="36"/>
    </row>
    <row r="691" spans="2:8" ht="12.75">
      <c r="B691" s="6" t="s">
        <v>500</v>
      </c>
      <c r="F691" s="46"/>
      <c r="G691" s="4"/>
      <c r="H691" s="36"/>
    </row>
    <row r="692" spans="2:8" ht="12.75">
      <c r="B692" s="6" t="s">
        <v>501</v>
      </c>
      <c r="F692" s="46"/>
      <c r="G692" s="4"/>
      <c r="H692" s="36"/>
    </row>
    <row r="693" spans="2:8" ht="12.75">
      <c r="B693" s="6" t="s">
        <v>502</v>
      </c>
      <c r="F693" s="46"/>
      <c r="G693" s="4"/>
      <c r="H693" s="36"/>
    </row>
    <row r="694" spans="2:8" ht="12.75">
      <c r="B694" s="6" t="s">
        <v>503</v>
      </c>
      <c r="F694" s="61">
        <v>300000</v>
      </c>
      <c r="G694" s="4"/>
      <c r="H694" s="36"/>
    </row>
    <row r="695" spans="2:8" ht="12.75">
      <c r="B695" s="6"/>
      <c r="F695" s="61"/>
      <c r="G695" s="4"/>
      <c r="H695" s="36"/>
    </row>
    <row r="696" spans="2:9" s="29" customFormat="1" ht="12.75">
      <c r="B696" s="29" t="s">
        <v>154</v>
      </c>
      <c r="D696" s="30"/>
      <c r="E696" s="30"/>
      <c r="F696" s="62"/>
      <c r="G696" s="30"/>
      <c r="H696" s="45">
        <v>2784200</v>
      </c>
      <c r="I696" s="58"/>
    </row>
    <row r="697" spans="2:8" ht="12.75">
      <c r="B697" t="s">
        <v>79</v>
      </c>
      <c r="F697" s="61"/>
      <c r="G697" s="4"/>
      <c r="H697" s="36"/>
    </row>
    <row r="698" spans="2:10" ht="12.75">
      <c r="B698" t="s">
        <v>224</v>
      </c>
      <c r="F698" s="46">
        <f>981000+77000+160000+23000+160000</f>
        <v>1401000</v>
      </c>
      <c r="G698" s="4"/>
      <c r="H698" s="36"/>
      <c r="J698" s="36"/>
    </row>
    <row r="699" spans="2:8" ht="12.75">
      <c r="B699" t="s">
        <v>94</v>
      </c>
      <c r="F699" s="46"/>
      <c r="G699" s="4"/>
      <c r="H699" s="36"/>
    </row>
    <row r="700" spans="2:8" ht="12.75">
      <c r="B700" t="s">
        <v>95</v>
      </c>
      <c r="F700" s="46">
        <v>255000</v>
      </c>
      <c r="G700" s="4"/>
      <c r="H700" s="36"/>
    </row>
    <row r="701" spans="2:8" ht="12.75">
      <c r="B701" t="s">
        <v>96</v>
      </c>
      <c r="F701" s="46">
        <v>43500</v>
      </c>
      <c r="G701" s="4"/>
      <c r="H701" s="36"/>
    </row>
    <row r="702" spans="2:8" ht="12.75">
      <c r="B702" t="s">
        <v>504</v>
      </c>
      <c r="F702" s="46"/>
      <c r="G702" s="4"/>
      <c r="H702" s="36"/>
    </row>
    <row r="703" spans="2:8" ht="12.75">
      <c r="B703" t="s">
        <v>97</v>
      </c>
      <c r="F703" s="46">
        <v>575200</v>
      </c>
      <c r="G703" s="4"/>
      <c r="H703" s="36"/>
    </row>
    <row r="704" spans="2:8" ht="12.75">
      <c r="B704" t="s">
        <v>505</v>
      </c>
      <c r="F704" s="46">
        <v>39200</v>
      </c>
      <c r="G704" s="4"/>
      <c r="H704" s="36"/>
    </row>
    <row r="705" spans="2:8" ht="12.75">
      <c r="B705" t="s">
        <v>506</v>
      </c>
      <c r="F705" s="46">
        <v>20000</v>
      </c>
      <c r="G705" s="4"/>
      <c r="H705" s="36"/>
    </row>
    <row r="706" spans="2:8" ht="12.75">
      <c r="B706" s="6" t="s">
        <v>507</v>
      </c>
      <c r="F706" s="46"/>
      <c r="G706" s="4"/>
      <c r="H706" s="36"/>
    </row>
    <row r="707" spans="2:8" ht="12.75">
      <c r="B707" s="6" t="s">
        <v>508</v>
      </c>
      <c r="F707" s="46"/>
      <c r="G707" s="4"/>
      <c r="H707" s="36"/>
    </row>
    <row r="708" spans="2:8" ht="12.75">
      <c r="B708" s="48" t="s">
        <v>347</v>
      </c>
      <c r="F708" s="46">
        <v>300000</v>
      </c>
      <c r="G708" s="4"/>
      <c r="H708" s="36"/>
    </row>
    <row r="709" spans="6:8" ht="12.75">
      <c r="F709" s="4"/>
      <c r="G709" s="4"/>
      <c r="H709" s="36"/>
    </row>
    <row r="710" spans="2:8" ht="12.75">
      <c r="B710" t="s">
        <v>193</v>
      </c>
      <c r="F710" s="4"/>
      <c r="G710" s="4"/>
      <c r="H710" s="36">
        <f>H678+H680-H696</f>
        <v>1493</v>
      </c>
    </row>
    <row r="711" spans="6:8" ht="12.75">
      <c r="F711" s="4"/>
      <c r="G711" s="4"/>
      <c r="H711" s="36"/>
    </row>
    <row r="712" spans="2:8" ht="12.75">
      <c r="B712" t="s">
        <v>92</v>
      </c>
      <c r="F712" s="4"/>
      <c r="G712" s="4"/>
      <c r="H712" s="36"/>
    </row>
    <row r="713" ht="12.75">
      <c r="A713" t="s">
        <v>261</v>
      </c>
    </row>
  </sheetData>
  <printOptions/>
  <pageMargins left="0.5511811023622047" right="0" top="0.7874015748031497" bottom="0.5905511811023623" header="0.11811023622047245" footer="0.31496062992125984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2007-12-21T12:38:18Z</cp:lastPrinted>
  <dcterms:created xsi:type="dcterms:W3CDTF">2001-11-07T14:31:48Z</dcterms:created>
  <dcterms:modified xsi:type="dcterms:W3CDTF">2007-12-21T13:07:08Z</dcterms:modified>
  <cp:category/>
  <cp:version/>
  <cp:contentType/>
  <cp:contentStatus/>
</cp:coreProperties>
</file>