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<sst xmlns="http://schemas.openxmlformats.org/spreadsheetml/2006/main" count="527" uniqueCount="282">
  <si>
    <t>a) zestawienie dochodów wg działów</t>
  </si>
  <si>
    <t>Lp.</t>
  </si>
  <si>
    <t xml:space="preserve"> Treść</t>
  </si>
  <si>
    <t>GOSPODARKA KOMUNALNA</t>
  </si>
  <si>
    <t>BEZPIECZEŃSTWO  PUBLICZNE</t>
  </si>
  <si>
    <t>OGÓŁEM</t>
  </si>
  <si>
    <t>b) zestawienie dochodów wg działów, rozdziałów i paragrafów</t>
  </si>
  <si>
    <t>Pozostała działalność</t>
  </si>
  <si>
    <t>w tym:</t>
  </si>
  <si>
    <t>Gospodarka gruntami i nieruchom.</t>
  </si>
  <si>
    <t>wpływy z usług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</si>
  <si>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</si>
  <si>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</si>
  <si>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</si>
  <si>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</si>
  <si>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</si>
  <si>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</si>
  <si>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</si>
  <si>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</si>
  <si>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</si>
  <si>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opłata prolongacyjna</t>
  </si>
  <si>
    <t>podatek od spadków i darowizn</t>
  </si>
  <si>
    <t>podatek od posiadania psów</t>
  </si>
  <si>
    <t>Urzędy wojewódzkie</t>
  </si>
  <si>
    <t>subwencje ogólne z budżetu  państwa</t>
  </si>
  <si>
    <t>Różne rozliczenia finansowe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</si>
  <si>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</si>
  <si>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</si>
  <si>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</si>
  <si>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</si>
  <si>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</si>
  <si>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</si>
  <si>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</si>
  <si>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</si>
  <si>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</si>
  <si>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</si>
  <si>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</si>
  <si>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</si>
  <si>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</si>
  <si>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</si>
  <si>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</si>
  <si>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</si>
  <si>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</si>
  <si>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</si>
  <si>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</si>
  <si>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</si>
  <si>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</si>
  <si>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</si>
  <si>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</si>
  <si>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</si>
  <si>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</si>
  <si>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</si>
  <si>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</si>
  <si>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</si>
  <si>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</si>
  <si>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</si>
  <si>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</si>
  <si>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</si>
  <si>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</si>
  <si>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</si>
  <si>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</si>
  <si>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wpływy z tyt.wynagrodzenia płatnika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</si>
  <si>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</si>
  <si>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</si>
  <si>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</si>
  <si>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</si>
  <si>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</si>
  <si>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</si>
  <si>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Drogi publiczne powiatowe</t>
  </si>
  <si>
    <t>dotacje celowe otrzymane z powiatu na</t>
  </si>
  <si>
    <t>porozumień między j.s.t.</t>
  </si>
  <si>
    <t>dotacje celowe otrzymane z bud.państ.</t>
  </si>
  <si>
    <t>zleconych gminie ustawami</t>
  </si>
  <si>
    <t>wpłaty z tyt.odpłatnego nabycia prawa</t>
  </si>
  <si>
    <t>szkoła nr 1</t>
  </si>
  <si>
    <t>szkoła nr 2</t>
  </si>
  <si>
    <t>gmin</t>
  </si>
  <si>
    <t>składki na ubezpieczenia społeczne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</si>
  <si>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</si>
  <si>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</si>
  <si>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</si>
  <si>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</si>
  <si>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</si>
  <si>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</si>
  <si>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</si>
  <si>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gimnazjum</t>
  </si>
  <si>
    <t>Straż Miejska</t>
  </si>
  <si>
    <t>grzywny,mandaty i inne kary pieniężne</t>
  </si>
  <si>
    <t>kol.6/5</t>
  </si>
  <si>
    <t>DZIAŁALNOŚĆ USŁUGOWA</t>
  </si>
  <si>
    <t>zwrot opłat sądowych</t>
  </si>
  <si>
    <t>prowizja za znaki skarbowe</t>
  </si>
  <si>
    <t>odsetki od nietrminowych wpłat......</t>
  </si>
  <si>
    <t>podatek od czynności cywilnoprawnych</t>
  </si>
  <si>
    <t>Wpływy z innych opłat stanowiących</t>
  </si>
  <si>
    <t>Przedszkola</t>
  </si>
  <si>
    <t>zwrot za upomnienia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</si>
  <si>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</si>
  <si>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</si>
  <si>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</si>
  <si>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</si>
  <si>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</si>
  <si>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</si>
  <si>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</si>
  <si>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</si>
  <si>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</si>
  <si>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>Opracowania geodezyjne i kartograf.</t>
  </si>
  <si>
    <t xml:space="preserve">wypoczynku dzieci i młodzieży </t>
  </si>
  <si>
    <t>koszty zastępstwa procesowego</t>
  </si>
  <si>
    <t>wpływy z opłat za zezwolenia na sprzedaż</t>
  </si>
  <si>
    <t>alkoholu</t>
  </si>
  <si>
    <t>roczna opłata z tyt.użytkowania wieczyst.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</si>
  <si>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</si>
  <si>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</si>
  <si>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</si>
  <si>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</si>
  <si>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sektora finansnów publ.oraz innych umów.....</t>
  </si>
  <si>
    <t>RÓŻNE ROZLICZENIA</t>
  </si>
  <si>
    <t>opłata za użytk.wieczyste%(sprzedaż)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</si>
  <si>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</si>
  <si>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</si>
  <si>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</si>
  <si>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</si>
  <si>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</si>
  <si>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</si>
  <si>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</si>
  <si>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</si>
  <si>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</si>
  <si>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</si>
  <si>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</si>
  <si>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</si>
  <si>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</si>
  <si>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</si>
  <si>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</si>
  <si>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</si>
  <si>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</si>
  <si>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</si>
  <si>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</si>
  <si>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</si>
  <si>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</si>
  <si>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</si>
  <si>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</si>
  <si>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</si>
  <si>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</si>
  <si>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</si>
  <si>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O960</t>
  </si>
  <si>
    <t>zadania bieżące realizowane na podst.</t>
  </si>
  <si>
    <t>na realizację własnych zadań bieżących</t>
  </si>
  <si>
    <t>Wskaźnik</t>
  </si>
  <si>
    <t>(rozliczenia z lat ubiegłych i różne dochody)</t>
  </si>
  <si>
    <t>Plany zagospodarowania przestrzennego</t>
  </si>
  <si>
    <t>wpływy z różnych opłat(renty planistyczne)</t>
  </si>
  <si>
    <t>wpływy z różnych opłat(opłata adiacencka)</t>
  </si>
  <si>
    <t>ubezpieczenia emerytalne i rentowe</t>
  </si>
  <si>
    <t>z ubezpieczenia społecznego</t>
  </si>
  <si>
    <t>na inwestycje i zakupy inwestycyjne</t>
  </si>
  <si>
    <t xml:space="preserve">z zakresu administr.rządowej oraz innych </t>
  </si>
  <si>
    <t>zadań zleconych gminom ustawami</t>
  </si>
  <si>
    <t>DZIEDZICTWA  NARODOWEGO</t>
  </si>
  <si>
    <t>KULTURA  I  OCHRONA</t>
  </si>
  <si>
    <t xml:space="preserve">KULTURA I OCHRONA </t>
  </si>
  <si>
    <t>DZIEDZICTWA NARODOWEGO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</si>
  <si>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</si>
  <si>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</si>
  <si>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</si>
  <si>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</si>
  <si>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</si>
  <si>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</si>
  <si>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</si>
  <si>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</si>
  <si>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</si>
  <si>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O870</t>
  </si>
  <si>
    <t>wpływy ze sprzedaży składników majątkowych</t>
  </si>
  <si>
    <t>pasa drogowego)</t>
  </si>
  <si>
    <t>zwrot bonifikaty</t>
  </si>
  <si>
    <t>wpływy z różnych dochodów(kary umowne)</t>
  </si>
  <si>
    <t xml:space="preserve">dochody jst związane z realizacją zadań </t>
  </si>
  <si>
    <t>z zakresu admin.rządowej oraz innych zadań</t>
  </si>
  <si>
    <t>zleconych ustawami (dowody osobiste)</t>
  </si>
  <si>
    <t>rozliczenia z lat ubiegłych i inne</t>
  </si>
  <si>
    <t>jednostek organizacyjnych</t>
  </si>
  <si>
    <t xml:space="preserve">fizycznych </t>
  </si>
  <si>
    <t>otrzymane spadki,zapisy i darowizny.....</t>
  </si>
  <si>
    <t>gmin(zasiłki okresowe o charakt.obowiązk.)</t>
  </si>
  <si>
    <t>gmin (posiłek dla potrzebujących)</t>
  </si>
  <si>
    <t>Pomoc materialna dla uczniów</t>
  </si>
  <si>
    <t xml:space="preserve">wpływy z usług (wpływy ze sprzedaży </t>
  </si>
  <si>
    <t>Specyfik.Istotnych Warunków Zamówienia)</t>
  </si>
  <si>
    <t>Część równoważąca subw.ogólnej dla gmin</t>
  </si>
  <si>
    <t>(kwota równoważąca dodatki mieszkaniowe)</t>
  </si>
  <si>
    <t>wpływy z różnych opłat (szkoła  nr 1)</t>
  </si>
  <si>
    <t>opłata z tyt.trwłego zarządu</t>
  </si>
  <si>
    <t>alimentacyjna oraz składki  na</t>
  </si>
  <si>
    <t xml:space="preserve">Świadczenia rodzinne, zaliczka </t>
  </si>
  <si>
    <t>najem komunalnych lokali mieszkalnych</t>
  </si>
  <si>
    <t>O490</t>
  </si>
  <si>
    <t xml:space="preserve">wpływy z innych lokalnych opłat pobieranych </t>
  </si>
  <si>
    <t>przez jst na podstawie odrębnych ustaw</t>
  </si>
  <si>
    <t>z lat ubiegłych</t>
  </si>
  <si>
    <t>wpływy z usług(sprzedaż ciepła dla BGŻ i inne)</t>
  </si>
  <si>
    <t>rekompensaty utraconych dochodów…..</t>
  </si>
  <si>
    <t>dotacje  celowe otrzymane z bud.pań….</t>
  </si>
  <si>
    <t>środki na dofinans.własnych zadań…..</t>
  </si>
  <si>
    <t>(szkoła nr 1-Projekt Programu Socrates)</t>
  </si>
  <si>
    <t>Strukt.</t>
  </si>
  <si>
    <t>najem lokali użytkowych i reklama MTBS</t>
  </si>
  <si>
    <t>dzierżawa pomieszczeń ZWiK</t>
  </si>
  <si>
    <t>wpływy z opłat za koncesje i licencje</t>
  </si>
  <si>
    <t>O590</t>
  </si>
  <si>
    <t>(zwrot z Urzędu Skarbowego niesłusznie</t>
  </si>
  <si>
    <t>z tytułu niewykorzystanych wydatków</t>
  </si>
  <si>
    <t>niewygasających</t>
  </si>
  <si>
    <t>sprzedaży nieruchomości przy ul.Kopernika</t>
  </si>
  <si>
    <t>gmin(j.angielski)</t>
  </si>
  <si>
    <t xml:space="preserve">z tytułu zabezpieczenia należytego </t>
  </si>
  <si>
    <t>wykonania umowy(boisko w Szkole nr 1)</t>
  </si>
  <si>
    <t>kary umowne</t>
  </si>
  <si>
    <t>awans zawodowy nauczycieli</t>
  </si>
  <si>
    <t>dofinansowanie pracodawcom kosztów</t>
  </si>
  <si>
    <t>przygotowania zawodowego młodocianych</t>
  </si>
  <si>
    <t>pracowników</t>
  </si>
  <si>
    <t xml:space="preserve">dochody jednostek samorządu </t>
  </si>
  <si>
    <t xml:space="preserve">terytorialnego związane z realizacją zadań </t>
  </si>
  <si>
    <t>zleconych ustawami</t>
  </si>
  <si>
    <t>Dodatki mieszkaniowe</t>
  </si>
  <si>
    <t>Zakłady gospodarki komunalnej</t>
  </si>
  <si>
    <t>O400</t>
  </si>
  <si>
    <t>wpływy z opłaty produktowej</t>
  </si>
  <si>
    <t>wpływy z różnych dochodów(kary)</t>
  </si>
  <si>
    <t>2007r.</t>
  </si>
  <si>
    <t>Załącznik nr 1</t>
  </si>
  <si>
    <t>&amp;</t>
  </si>
  <si>
    <t>Dział</t>
  </si>
  <si>
    <t>rozdz.</t>
  </si>
  <si>
    <t>zapłaconego podatku VAT od opłaty z tyt.</t>
  </si>
  <si>
    <t>użytkow.wieczystego za 2005 r.i 2006 r.)</t>
  </si>
  <si>
    <t>niesłusznie naliczony podatek VAT od</t>
  </si>
  <si>
    <t>do objaśnień</t>
  </si>
  <si>
    <t>Planowane dochody na 2008 r. w porównaniu z przewidywanym wykonaniem w 2007r.</t>
  </si>
  <si>
    <t>Plan po</t>
  </si>
  <si>
    <t>Przewidywane</t>
  </si>
  <si>
    <t>wykonanie</t>
  </si>
  <si>
    <t>2008 r.</t>
  </si>
  <si>
    <t>planu</t>
  </si>
  <si>
    <t>2008r.</t>
  </si>
  <si>
    <t>sprzedaż nieruchomości</t>
  </si>
  <si>
    <t>sprzedaż lokali mieszkalnych</t>
  </si>
  <si>
    <t>sprzedaż gruntu</t>
  </si>
  <si>
    <t>sprzedaż lokali użytkowych</t>
  </si>
  <si>
    <t>refundacja wydatków -unieważnienie aktu not.</t>
  </si>
  <si>
    <t>koszty egzekucyjne i koszty aktu notarialnego</t>
  </si>
  <si>
    <t xml:space="preserve">gmin </t>
  </si>
  <si>
    <t>stypendia socjalne</t>
  </si>
  <si>
    <t>podręczniki i stroje dla uczniów</t>
  </si>
  <si>
    <t xml:space="preserve">Wpływy i wydatki związane z gromadzeniem </t>
  </si>
  <si>
    <t>środków z opłat produktowych</t>
  </si>
  <si>
    <t>dochody bieżące</t>
  </si>
  <si>
    <t>dochody majątkowe</t>
  </si>
  <si>
    <t>z tego:</t>
  </si>
  <si>
    <t>Część wyrównawcza subwencji ogólnej</t>
  </si>
  <si>
    <t>dla gmin</t>
  </si>
  <si>
    <t>Stołówki szkolne</t>
  </si>
  <si>
    <t>Szkoła nr 1</t>
  </si>
  <si>
    <t>Szkoła nr 2</t>
  </si>
  <si>
    <t>Gimnazjum</t>
  </si>
  <si>
    <t>opłata od posiadania psów</t>
  </si>
  <si>
    <t>Wybory do Sejmu i Senatu</t>
  </si>
  <si>
    <t>środki na dofinans.własnych inwestycji</t>
  </si>
  <si>
    <t>gmin,powiatów,samorządów województw</t>
  </si>
  <si>
    <t xml:space="preserve">pozyskane z innych źródeł(środki </t>
  </si>
  <si>
    <t>z Funduszu Rozwoju Kultury Fizycznej</t>
  </si>
  <si>
    <t>na dofinans.zadania "Budowa boiska</t>
  </si>
  <si>
    <t>wielofunkcyjnego przy Gimnzjum")</t>
  </si>
  <si>
    <t>na zadania bieżące realiz.przez gminę</t>
  </si>
  <si>
    <t>na podstawie porozumień(program Opieki</t>
  </si>
  <si>
    <t>nad dzieckiem i rodziną)</t>
  </si>
  <si>
    <t>lektury do bibliotek szkolnych-tereny wiejskie</t>
  </si>
  <si>
    <t xml:space="preserve">wpływy z różnych opłat (wpływy z zajęcia </t>
  </si>
  <si>
    <t>na realizację zadań bieżących z zakresu</t>
  </si>
  <si>
    <t>na realizację zadań bieżacych z zakresu</t>
  </si>
  <si>
    <t>dotacje rozwojowe</t>
  </si>
  <si>
    <t xml:space="preserve">zmianach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</si>
</sst>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4" xfId="0" applyNumberForma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9" fontId="8" fillId="0" borderId="6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4" xfId="0" applyNumberForma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10" fontId="9" fillId="0" borderId="2" xfId="0" applyNumberFormat="1" applyFont="1" applyBorder="1" applyAlignment="1">
      <alignment/>
    </xf>
    <xf numFmtId="9" fontId="9" fillId="0" borderId="7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7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0" fontId="8" fillId="0" borderId="5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0" fontId="8" fillId="0" borderId="7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9" fontId="9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10" fontId="10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9" fontId="9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9" fontId="9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0" fontId="9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9" fontId="9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0" fontId="9" fillId="0" borderId="11" xfId="0" applyNumberFormat="1" applyFont="1" applyBorder="1" applyAlignment="1">
      <alignment/>
    </xf>
    <xf numFmtId="10" fontId="9" fillId="0" borderId="8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showGridLines="0" tabSelected="1" workbookViewId="0" topLeftCell="A46">
      <selection activeCell="N430" sqref="N430"/>
    </sheetView>
  </sheetViews>
  <sheetFormatPr defaultColWidth="9.00390625" defaultRowHeight="12.75"/>
  <cols>
    <col min="1" max="1" width="3.75390625" style="0" customWidth="1"/>
    <col min="2" max="2" width="6.125" style="0" customWidth="1"/>
    <col min="3" max="3" width="34.375" style="0" customWidth="1"/>
    <col min="4" max="4" width="0.12890625" style="28" hidden="1" customWidth="1"/>
    <col min="5" max="6" width="14.25390625" style="80" customWidth="1"/>
    <col min="7" max="7" width="14.00390625" style="80" customWidth="1"/>
    <col min="8" max="8" width="8.00390625" style="102" customWidth="1"/>
    <col min="9" max="9" width="7.00390625" style="103" customWidth="1"/>
    <col min="11" max="11" width="10.125" style="0" bestFit="1" customWidth="1"/>
  </cols>
  <sheetData>
    <row r="1" ht="12.75">
      <c r="E1" s="80" t="s">
        <v>230</v>
      </c>
    </row>
    <row r="2" ht="12.75">
      <c r="E2" s="80" t="s">
        <v>237</v>
      </c>
    </row>
    <row r="4" spans="2:8" ht="14.25">
      <c r="B4" s="2" t="s">
        <v>238</v>
      </c>
      <c r="C4" s="17"/>
      <c r="D4" s="29"/>
      <c r="E4" s="81"/>
      <c r="F4" s="81"/>
      <c r="G4" s="81"/>
      <c r="H4" s="104"/>
    </row>
    <row r="5" spans="1:7" ht="14.25" customHeight="1">
      <c r="A5" s="1"/>
      <c r="B5" s="22" t="s">
        <v>0</v>
      </c>
      <c r="C5" s="22"/>
      <c r="E5" s="82"/>
      <c r="F5" s="82"/>
      <c r="G5" s="115"/>
    </row>
    <row r="6" spans="1:9" ht="12.75">
      <c r="A6" s="7"/>
      <c r="B6" s="7" t="s">
        <v>232</v>
      </c>
      <c r="C6" s="119"/>
      <c r="D6" s="118" t="s">
        <v>98</v>
      </c>
      <c r="E6" s="133" t="s">
        <v>239</v>
      </c>
      <c r="F6" s="130" t="s">
        <v>240</v>
      </c>
      <c r="G6" s="131" t="s">
        <v>98</v>
      </c>
      <c r="H6" s="126" t="s">
        <v>148</v>
      </c>
      <c r="I6" s="67" t="s">
        <v>204</v>
      </c>
    </row>
    <row r="7" spans="1:9" ht="12.75">
      <c r="A7" s="7" t="s">
        <v>1</v>
      </c>
      <c r="B7" s="125" t="s">
        <v>233</v>
      </c>
      <c r="C7" s="8" t="s">
        <v>2</v>
      </c>
      <c r="D7" s="116" t="s">
        <v>99</v>
      </c>
      <c r="E7" s="132" t="s">
        <v>281</v>
      </c>
      <c r="F7" s="94" t="s">
        <v>241</v>
      </c>
      <c r="G7" s="134" t="s">
        <v>242</v>
      </c>
      <c r="H7" s="128"/>
      <c r="I7" s="68" t="s">
        <v>243</v>
      </c>
    </row>
    <row r="8" spans="1:9" ht="12.75">
      <c r="A8" s="9"/>
      <c r="B8" s="9" t="s">
        <v>231</v>
      </c>
      <c r="C8" s="9"/>
      <c r="D8" s="117"/>
      <c r="E8" s="127"/>
      <c r="F8" s="83" t="s">
        <v>229</v>
      </c>
      <c r="G8" s="135"/>
      <c r="H8" s="129" t="s">
        <v>88</v>
      </c>
      <c r="I8" s="69" t="s">
        <v>244</v>
      </c>
    </row>
    <row r="9" spans="1:9" ht="12.75">
      <c r="A9" s="60">
        <v>1</v>
      </c>
      <c r="B9" s="25">
        <v>2</v>
      </c>
      <c r="C9" s="25">
        <v>3</v>
      </c>
      <c r="D9" s="30">
        <v>6</v>
      </c>
      <c r="E9" s="100">
        <v>4</v>
      </c>
      <c r="F9" s="100">
        <v>5</v>
      </c>
      <c r="G9" s="100">
        <v>6</v>
      </c>
      <c r="H9" s="105">
        <v>7</v>
      </c>
      <c r="I9" s="106">
        <v>8</v>
      </c>
    </row>
    <row r="10" spans="1:9" ht="12.75">
      <c r="A10" s="7"/>
      <c r="B10" s="32"/>
      <c r="C10" s="10"/>
      <c r="D10" s="26"/>
      <c r="E10" s="84"/>
      <c r="F10" s="84"/>
      <c r="G10" s="84"/>
      <c r="H10" s="107"/>
      <c r="I10" s="108"/>
    </row>
    <row r="11" spans="1:9" ht="15">
      <c r="A11" s="7">
        <v>1</v>
      </c>
      <c r="B11" s="55">
        <v>600</v>
      </c>
      <c r="C11" s="13" t="s">
        <v>26</v>
      </c>
      <c r="D11" s="26">
        <f>D57</f>
        <v>0</v>
      </c>
      <c r="E11" s="84">
        <f>E57</f>
        <v>128780</v>
      </c>
      <c r="F11" s="84">
        <f>F57</f>
        <v>159965</v>
      </c>
      <c r="G11" s="84">
        <f>G57</f>
        <v>10477755</v>
      </c>
      <c r="H11" s="107">
        <f>G11/F11</f>
        <v>65.50029693995562</v>
      </c>
      <c r="I11" s="108">
        <f>G11/$G$44</f>
        <v>0.17291005432106768</v>
      </c>
    </row>
    <row r="12" spans="1:9" ht="12.75">
      <c r="A12" s="7"/>
      <c r="B12" s="32"/>
      <c r="C12" s="10"/>
      <c r="D12" s="26"/>
      <c r="E12" s="84"/>
      <c r="F12" s="84"/>
      <c r="G12" s="84"/>
      <c r="H12" s="107"/>
      <c r="I12" s="108"/>
    </row>
    <row r="13" spans="1:9" ht="15">
      <c r="A13" s="7">
        <v>2</v>
      </c>
      <c r="B13" s="55">
        <v>700</v>
      </c>
      <c r="C13" s="13" t="s">
        <v>28</v>
      </c>
      <c r="D13" s="26" t="e">
        <f>D68</f>
        <v>#REF!</v>
      </c>
      <c r="E13" s="84">
        <f>E68</f>
        <v>13976868</v>
      </c>
      <c r="F13" s="84">
        <f>F68</f>
        <v>10926145.42</v>
      </c>
      <c r="G13" s="84">
        <f>G68</f>
        <v>30942929</v>
      </c>
      <c r="H13" s="107">
        <f>G13/F13</f>
        <v>2.832007795114995</v>
      </c>
      <c r="I13" s="108">
        <f>G13/$G$44</f>
        <v>0.5106383508912874</v>
      </c>
    </row>
    <row r="14" spans="1:9" ht="12.75">
      <c r="A14" s="7"/>
      <c r="B14" s="32"/>
      <c r="C14" s="10"/>
      <c r="D14" s="26"/>
      <c r="E14" s="84"/>
      <c r="F14" s="84"/>
      <c r="G14" s="84"/>
      <c r="H14" s="107"/>
      <c r="I14" s="108"/>
    </row>
    <row r="15" spans="1:9" s="59" customFormat="1" ht="15" customHeight="1">
      <c r="A15" s="58">
        <v>3</v>
      </c>
      <c r="B15" s="56">
        <v>710</v>
      </c>
      <c r="C15" s="34" t="s">
        <v>89</v>
      </c>
      <c r="D15" s="35" t="e">
        <f>#REF!</f>
        <v>#REF!</v>
      </c>
      <c r="E15" s="85">
        <f>E113</f>
        <v>140</v>
      </c>
      <c r="F15" s="85">
        <f>F113</f>
        <v>456</v>
      </c>
      <c r="G15" s="85">
        <f>G113</f>
        <v>0</v>
      </c>
      <c r="H15" s="107">
        <f>G15/F15</f>
        <v>0</v>
      </c>
      <c r="I15" s="108">
        <f>G15/$G$44</f>
        <v>0</v>
      </c>
    </row>
    <row r="16" spans="1:9" ht="12.75">
      <c r="A16" s="7"/>
      <c r="B16" s="32"/>
      <c r="C16" s="10"/>
      <c r="D16" s="26"/>
      <c r="E16" s="84"/>
      <c r="F16" s="84"/>
      <c r="G16" s="84"/>
      <c r="H16" s="107"/>
      <c r="I16" s="108"/>
    </row>
    <row r="17" spans="1:9" ht="15">
      <c r="A17" s="7">
        <v>4</v>
      </c>
      <c r="B17" s="56">
        <v>750</v>
      </c>
      <c r="C17" s="34" t="s">
        <v>60</v>
      </c>
      <c r="D17" s="26" t="e">
        <f>D121</f>
        <v>#REF!</v>
      </c>
      <c r="E17" s="84">
        <f>E121</f>
        <v>379145</v>
      </c>
      <c r="F17" s="84">
        <f>F121</f>
        <v>399841</v>
      </c>
      <c r="G17" s="84">
        <f>G121</f>
        <v>210500</v>
      </c>
      <c r="H17" s="107">
        <f>G17/F17</f>
        <v>0.5264592675588546</v>
      </c>
      <c r="I17" s="108">
        <f>G17/$G$44</f>
        <v>0.0034737943800541957</v>
      </c>
    </row>
    <row r="18" spans="1:9" ht="15">
      <c r="A18" s="7"/>
      <c r="B18" s="56"/>
      <c r="C18" s="34"/>
      <c r="D18" s="26"/>
      <c r="E18" s="84"/>
      <c r="F18" s="84"/>
      <c r="G18" s="84"/>
      <c r="H18" s="107"/>
      <c r="I18" s="108"/>
    </row>
    <row r="19" spans="1:9" ht="15">
      <c r="A19" s="7">
        <v>5</v>
      </c>
      <c r="B19" s="55">
        <v>751</v>
      </c>
      <c r="C19" s="33" t="s">
        <v>43</v>
      </c>
      <c r="D19" s="26"/>
      <c r="E19" s="84"/>
      <c r="F19" s="84"/>
      <c r="G19" s="84"/>
      <c r="H19" s="107"/>
      <c r="I19" s="108"/>
    </row>
    <row r="20" spans="1:9" ht="15">
      <c r="A20" s="7"/>
      <c r="B20" s="55"/>
      <c r="C20" s="33" t="s">
        <v>44</v>
      </c>
      <c r="D20" s="26"/>
      <c r="E20" s="84"/>
      <c r="F20" s="84"/>
      <c r="G20" s="84"/>
      <c r="H20" s="107"/>
      <c r="I20" s="108"/>
    </row>
    <row r="21" spans="1:9" ht="15">
      <c r="A21" s="7"/>
      <c r="B21" s="55"/>
      <c r="C21" s="33" t="s">
        <v>45</v>
      </c>
      <c r="D21" s="26" t="e">
        <f>D149</f>
        <v>#REF!</v>
      </c>
      <c r="E21" s="84">
        <f>E149</f>
        <v>10124</v>
      </c>
      <c r="F21" s="84">
        <f>F149</f>
        <v>10124</v>
      </c>
      <c r="G21" s="84">
        <f>G149</f>
        <v>1140</v>
      </c>
      <c r="H21" s="107">
        <f>G21/F21</f>
        <v>0.1126037139470565</v>
      </c>
      <c r="I21" s="108">
        <f>G21/$G$44</f>
        <v>1.8812948186516782E-05</v>
      </c>
    </row>
    <row r="22" spans="1:9" ht="15">
      <c r="A22" s="7"/>
      <c r="B22" s="55"/>
      <c r="C22" s="33"/>
      <c r="D22" s="26"/>
      <c r="E22" s="84"/>
      <c r="F22" s="84"/>
      <c r="G22" s="84"/>
      <c r="H22" s="107"/>
      <c r="I22" s="108"/>
    </row>
    <row r="23" spans="1:9" ht="15">
      <c r="A23" s="7">
        <v>6</v>
      </c>
      <c r="B23" s="55">
        <v>754</v>
      </c>
      <c r="C23" s="10" t="s">
        <v>4</v>
      </c>
      <c r="D23" s="26"/>
      <c r="E23" s="84"/>
      <c r="F23" s="84"/>
      <c r="G23" s="84"/>
      <c r="H23" s="107"/>
      <c r="I23" s="108"/>
    </row>
    <row r="24" spans="1:9" ht="15">
      <c r="A24" s="7"/>
      <c r="B24" s="55"/>
      <c r="C24" s="10" t="s">
        <v>40</v>
      </c>
      <c r="D24" s="26" t="e">
        <f>D164</f>
        <v>#REF!</v>
      </c>
      <c r="E24" s="84">
        <f>E164</f>
        <v>20000</v>
      </c>
      <c r="F24" s="84">
        <f>F164</f>
        <v>30000</v>
      </c>
      <c r="G24" s="84">
        <f>G164</f>
        <v>30000</v>
      </c>
      <c r="H24" s="107">
        <f>G24/F24</f>
        <v>1</v>
      </c>
      <c r="I24" s="108">
        <f>G24/$G$44</f>
        <v>0.0004950775838557048</v>
      </c>
    </row>
    <row r="25" spans="1:9" ht="12.75">
      <c r="A25" s="7"/>
      <c r="B25" s="32"/>
      <c r="C25" s="10"/>
      <c r="D25" s="26"/>
      <c r="E25" s="84"/>
      <c r="F25" s="84"/>
      <c r="G25" s="84"/>
      <c r="H25" s="107"/>
      <c r="I25" s="108"/>
    </row>
    <row r="26" spans="1:10" ht="15">
      <c r="A26" s="7">
        <v>7</v>
      </c>
      <c r="B26" s="55">
        <v>756</v>
      </c>
      <c r="C26" s="13" t="s">
        <v>14</v>
      </c>
      <c r="D26" s="26"/>
      <c r="E26" s="84"/>
      <c r="F26" s="84"/>
      <c r="G26" s="84"/>
      <c r="H26" s="107"/>
      <c r="I26" s="108"/>
      <c r="J26" s="123"/>
    </row>
    <row r="27" spans="1:9" ht="15">
      <c r="A27" s="7"/>
      <c r="B27" s="55"/>
      <c r="C27" s="13" t="s">
        <v>15</v>
      </c>
      <c r="D27" s="26" t="e">
        <f>D170</f>
        <v>#REF!</v>
      </c>
      <c r="E27" s="84">
        <f>E170</f>
        <v>9969032</v>
      </c>
      <c r="F27" s="84">
        <f>F170</f>
        <v>11020186.57</v>
      </c>
      <c r="G27" s="84">
        <f>G170</f>
        <v>10809610</v>
      </c>
      <c r="H27" s="107">
        <f>G27/F27</f>
        <v>0.9808917418355467</v>
      </c>
      <c r="I27" s="108">
        <f>G27/$G$44</f>
        <v>0.17838652004074884</v>
      </c>
    </row>
    <row r="28" spans="1:9" ht="12.75">
      <c r="A28" s="7"/>
      <c r="B28" s="32"/>
      <c r="C28" s="10"/>
      <c r="D28" s="26"/>
      <c r="E28" s="84"/>
      <c r="F28" s="84"/>
      <c r="G28" s="84"/>
      <c r="H28" s="107"/>
      <c r="I28" s="108"/>
    </row>
    <row r="29" spans="1:9" ht="15">
      <c r="A29" s="7">
        <v>8</v>
      </c>
      <c r="B29" s="55">
        <v>758</v>
      </c>
      <c r="C29" s="13" t="s">
        <v>117</v>
      </c>
      <c r="D29" s="26" t="e">
        <f>D226</f>
        <v>#REF!</v>
      </c>
      <c r="E29" s="84">
        <f>E226</f>
        <v>3370808.08</v>
      </c>
      <c r="F29" s="84">
        <f>F226</f>
        <v>3453735.64</v>
      </c>
      <c r="G29" s="84">
        <f>G226</f>
        <v>2746001</v>
      </c>
      <c r="H29" s="107">
        <f>G29/F29</f>
        <v>0.7950814092997575</v>
      </c>
      <c r="I29" s="108">
        <f>G29/$G$44</f>
        <v>0.04531611801151164</v>
      </c>
    </row>
    <row r="30" spans="1:9" ht="12.75">
      <c r="A30" s="7"/>
      <c r="B30" s="32"/>
      <c r="C30" s="10"/>
      <c r="D30" s="26"/>
      <c r="E30" s="84"/>
      <c r="F30" s="84"/>
      <c r="G30" s="84"/>
      <c r="H30" s="107"/>
      <c r="I30" s="108"/>
    </row>
    <row r="31" spans="1:9" ht="15">
      <c r="A31" s="7">
        <v>9</v>
      </c>
      <c r="B31" s="55">
        <v>801</v>
      </c>
      <c r="C31" s="16" t="s">
        <v>11</v>
      </c>
      <c r="D31" s="26" t="e">
        <f>D259</f>
        <v>#REF!</v>
      </c>
      <c r="E31" s="84">
        <f>E259</f>
        <v>841172.75</v>
      </c>
      <c r="F31" s="84">
        <f>F259</f>
        <v>856804.75</v>
      </c>
      <c r="G31" s="84">
        <f>G259</f>
        <v>2089240</v>
      </c>
      <c r="H31" s="107">
        <f>G31/F31</f>
        <v>2.4384085172263577</v>
      </c>
      <c r="I31" s="108">
        <f>G31/$G$44</f>
        <v>0.03447786304315643</v>
      </c>
    </row>
    <row r="32" spans="1:9" ht="15">
      <c r="A32" s="7"/>
      <c r="B32" s="55"/>
      <c r="C32" s="16"/>
      <c r="D32" s="26"/>
      <c r="E32" s="84"/>
      <c r="F32" s="84"/>
      <c r="G32" s="84"/>
      <c r="H32" s="107"/>
      <c r="I32" s="108"/>
    </row>
    <row r="33" spans="1:9" ht="15">
      <c r="A33" s="7">
        <v>10</v>
      </c>
      <c r="B33" s="56">
        <v>852</v>
      </c>
      <c r="C33" s="34" t="s">
        <v>120</v>
      </c>
      <c r="D33" s="26"/>
      <c r="E33" s="84">
        <f>E336</f>
        <v>1809185</v>
      </c>
      <c r="F33" s="84">
        <f>F336</f>
        <v>1810451</v>
      </c>
      <c r="G33" s="84">
        <f>G336</f>
        <v>1647572</v>
      </c>
      <c r="H33" s="107">
        <f>G33/F33</f>
        <v>0.9100340191477151</v>
      </c>
      <c r="I33" s="108">
        <f>G33/$G$44</f>
        <v>0.027189198832943712</v>
      </c>
    </row>
    <row r="34" spans="1:9" ht="12.75">
      <c r="A34" s="7"/>
      <c r="B34" s="32"/>
      <c r="C34" s="10"/>
      <c r="D34" s="26"/>
      <c r="E34" s="84"/>
      <c r="F34" s="84"/>
      <c r="G34" s="84"/>
      <c r="H34" s="107"/>
      <c r="I34" s="108"/>
    </row>
    <row r="35" spans="1:9" ht="15">
      <c r="A35" s="7">
        <v>11</v>
      </c>
      <c r="B35" s="56">
        <v>854</v>
      </c>
      <c r="C35" s="34" t="s">
        <v>29</v>
      </c>
      <c r="D35" s="26"/>
      <c r="E35" s="84"/>
      <c r="F35" s="84"/>
      <c r="G35" s="84"/>
      <c r="H35" s="107"/>
      <c r="I35" s="108"/>
    </row>
    <row r="36" spans="1:9" ht="15">
      <c r="A36" s="7"/>
      <c r="B36" s="56"/>
      <c r="C36" s="34" t="s">
        <v>30</v>
      </c>
      <c r="D36" s="54" t="e">
        <f>D396</f>
        <v>#REF!</v>
      </c>
      <c r="E36" s="85">
        <f>E396</f>
        <v>238257</v>
      </c>
      <c r="F36" s="85">
        <f>F396</f>
        <v>237365</v>
      </c>
      <c r="G36" s="85">
        <f>G396</f>
        <v>62500</v>
      </c>
      <c r="H36" s="107">
        <f>G36/F36</f>
        <v>0.2633075642997072</v>
      </c>
      <c r="I36" s="108">
        <f>G36/$G$44</f>
        <v>0.0010314116330327183</v>
      </c>
    </row>
    <row r="37" spans="1:9" ht="12.75">
      <c r="A37" s="11"/>
      <c r="B37" s="32"/>
      <c r="C37" s="10"/>
      <c r="D37" s="26"/>
      <c r="E37" s="84"/>
      <c r="F37" s="84"/>
      <c r="G37" s="84"/>
      <c r="H37" s="107"/>
      <c r="I37" s="108"/>
    </row>
    <row r="38" spans="1:9" ht="15">
      <c r="A38" s="11">
        <v>12</v>
      </c>
      <c r="B38" s="55">
        <v>900</v>
      </c>
      <c r="C38" s="13" t="s">
        <v>3</v>
      </c>
      <c r="D38" s="26"/>
      <c r="E38" s="84"/>
      <c r="F38" s="84"/>
      <c r="G38" s="84"/>
      <c r="H38" s="107"/>
      <c r="I38" s="108"/>
    </row>
    <row r="39" spans="1:9" ht="15">
      <c r="A39" s="11"/>
      <c r="B39" s="55"/>
      <c r="C39" s="13" t="s">
        <v>27</v>
      </c>
      <c r="D39" s="26" t="e">
        <f>D420</f>
        <v>#REF!</v>
      </c>
      <c r="E39" s="84">
        <f>E420</f>
        <v>101690</v>
      </c>
      <c r="F39" s="84">
        <f>F420</f>
        <v>106598</v>
      </c>
      <c r="G39" s="84">
        <f>G420</f>
        <v>844294</v>
      </c>
      <c r="H39" s="107">
        <f>G39/F39</f>
        <v>7.9203549785174205</v>
      </c>
      <c r="I39" s="108">
        <f>G39/$G$44</f>
        <v>0.013933034452795616</v>
      </c>
    </row>
    <row r="40" spans="1:9" ht="15">
      <c r="A40" s="11"/>
      <c r="B40" s="55"/>
      <c r="C40" s="13"/>
      <c r="D40" s="26"/>
      <c r="E40" s="84"/>
      <c r="F40" s="84"/>
      <c r="G40" s="84"/>
      <c r="H40" s="107"/>
      <c r="I40" s="108"/>
    </row>
    <row r="41" spans="1:9" ht="15">
      <c r="A41" s="11">
        <v>13</v>
      </c>
      <c r="B41" s="55">
        <v>921</v>
      </c>
      <c r="C41" s="13" t="s">
        <v>160</v>
      </c>
      <c r="D41" s="26"/>
      <c r="E41" s="84"/>
      <c r="F41" s="84"/>
      <c r="G41" s="84"/>
      <c r="H41" s="107"/>
      <c r="I41" s="108"/>
    </row>
    <row r="42" spans="1:9" ht="15">
      <c r="A42" s="11"/>
      <c r="B42" s="55"/>
      <c r="C42" s="13" t="s">
        <v>161</v>
      </c>
      <c r="D42" s="26"/>
      <c r="E42" s="84">
        <f>E430</f>
        <v>0</v>
      </c>
      <c r="F42" s="84">
        <f>F430</f>
        <v>0</v>
      </c>
      <c r="G42" s="84">
        <f>G430</f>
        <v>735022</v>
      </c>
      <c r="H42" s="107"/>
      <c r="I42" s="108">
        <f>G42/$G$44</f>
        <v>0.012129763861359595</v>
      </c>
    </row>
    <row r="43" spans="1:9" ht="15">
      <c r="A43" s="11"/>
      <c r="B43" s="55"/>
      <c r="C43" s="13"/>
      <c r="D43" s="26"/>
      <c r="E43" s="84"/>
      <c r="F43" s="84"/>
      <c r="G43" s="84"/>
      <c r="H43" s="153"/>
      <c r="I43" s="136"/>
    </row>
    <row r="44" spans="1:9" ht="12.75">
      <c r="A44" s="144"/>
      <c r="B44" s="149"/>
      <c r="C44" s="145" t="s">
        <v>5</v>
      </c>
      <c r="D44" s="148" t="e">
        <f>SUM(D10:D39)</f>
        <v>#REF!</v>
      </c>
      <c r="E44" s="150">
        <f>SUM(E11:E42)</f>
        <v>30845201.83</v>
      </c>
      <c r="F44" s="146">
        <f>SUM(F11:F42)</f>
        <v>29011672.380000003</v>
      </c>
      <c r="G44" s="161">
        <f>SUM(G11:G42)</f>
        <v>60596563</v>
      </c>
      <c r="H44" s="159">
        <f>G44/F44</f>
        <v>2.0886959636899083</v>
      </c>
      <c r="I44" s="147">
        <f>G44/$G$44</f>
        <v>1</v>
      </c>
    </row>
    <row r="45" spans="1:9" s="78" customFormat="1" ht="12.75">
      <c r="A45" s="11"/>
      <c r="B45" s="76"/>
      <c r="C45" s="11" t="s">
        <v>258</v>
      </c>
      <c r="D45" s="77"/>
      <c r="E45" s="87"/>
      <c r="F45" s="84"/>
      <c r="G45" s="87"/>
      <c r="H45" s="159"/>
      <c r="I45" s="151"/>
    </row>
    <row r="46" spans="1:9" s="156" customFormat="1" ht="12.75">
      <c r="A46" s="11"/>
      <c r="B46" s="75"/>
      <c r="C46" s="11" t="s">
        <v>257</v>
      </c>
      <c r="D46" s="154"/>
      <c r="E46" s="155">
        <f>E82+E85+E86+E335+E67+E327+E428+E432</f>
        <v>11101064</v>
      </c>
      <c r="F46" s="96">
        <f>F82+F85+F86+F335+F67+F327+F428+F432</f>
        <v>7544464.42</v>
      </c>
      <c r="G46" s="155">
        <f>G82+G85+G86+G335+G67+G327+G428+G432</f>
        <v>41125921</v>
      </c>
      <c r="H46" s="159">
        <f>G46/F46</f>
        <v>5.451138571344737</v>
      </c>
      <c r="I46" s="151">
        <f>G46/$G$44</f>
        <v>0.678684053417353</v>
      </c>
    </row>
    <row r="47" spans="1:9" ht="12.75">
      <c r="A47" s="11"/>
      <c r="B47" s="76"/>
      <c r="C47" s="11" t="s">
        <v>256</v>
      </c>
      <c r="D47" s="77"/>
      <c r="E47" s="80">
        <f>E44-E46</f>
        <v>19744137.83</v>
      </c>
      <c r="F47" s="94">
        <f>F44-F46</f>
        <v>21467207.96</v>
      </c>
      <c r="G47" s="134">
        <f>G44-G46</f>
        <v>19470642</v>
      </c>
      <c r="H47" s="159">
        <f>G47/F47</f>
        <v>0.9069946141240064</v>
      </c>
      <c r="I47" s="151">
        <f>G47/$G$44</f>
        <v>0.32131594658264695</v>
      </c>
    </row>
    <row r="48" spans="1:9" ht="12.75">
      <c r="A48" s="79"/>
      <c r="B48" s="5"/>
      <c r="C48" s="152"/>
      <c r="D48" s="74"/>
      <c r="E48" s="88"/>
      <c r="F48" s="101"/>
      <c r="G48" s="88"/>
      <c r="H48" s="160"/>
      <c r="I48" s="136"/>
    </row>
    <row r="49" spans="1:9" ht="12.75">
      <c r="A49" s="75"/>
      <c r="B49" s="76"/>
      <c r="C49" s="76"/>
      <c r="D49" s="77"/>
      <c r="E49" s="87"/>
      <c r="F49" s="87"/>
      <c r="G49" s="87"/>
      <c r="H49" s="109"/>
      <c r="I49" s="110"/>
    </row>
    <row r="50" spans="1:9" s="78" customFormat="1" ht="12.75">
      <c r="A50" s="75"/>
      <c r="B50" s="76"/>
      <c r="C50" s="76"/>
      <c r="D50" s="77"/>
      <c r="E50" s="87"/>
      <c r="F50" s="87"/>
      <c r="G50" s="87"/>
      <c r="H50" s="109"/>
      <c r="I50" s="110"/>
    </row>
    <row r="51" spans="1:9" s="78" customFormat="1" ht="12.75">
      <c r="A51" s="75"/>
      <c r="B51" s="76"/>
      <c r="C51" s="76"/>
      <c r="D51" s="77"/>
      <c r="E51" s="87"/>
      <c r="F51" s="87"/>
      <c r="G51" s="87"/>
      <c r="H51" s="109"/>
      <c r="I51" s="110"/>
    </row>
    <row r="52" spans="1:9" ht="12.75">
      <c r="A52" s="22"/>
      <c r="B52" s="5" t="s">
        <v>6</v>
      </c>
      <c r="C52" s="5"/>
      <c r="D52" s="74"/>
      <c r="E52" s="88"/>
      <c r="F52" s="87"/>
      <c r="G52" s="87"/>
      <c r="H52" s="111"/>
      <c r="I52" s="112"/>
    </row>
    <row r="53" spans="1:9" ht="12.75">
      <c r="A53" s="7"/>
      <c r="B53" s="7" t="s">
        <v>232</v>
      </c>
      <c r="C53" s="119"/>
      <c r="D53" s="118" t="s">
        <v>98</v>
      </c>
      <c r="E53" s="133" t="s">
        <v>239</v>
      </c>
      <c r="F53" s="130" t="s">
        <v>240</v>
      </c>
      <c r="G53" s="131" t="s">
        <v>98</v>
      </c>
      <c r="H53" s="126" t="s">
        <v>148</v>
      </c>
      <c r="I53" s="67" t="s">
        <v>204</v>
      </c>
    </row>
    <row r="54" spans="1:9" ht="12.75">
      <c r="A54" s="7" t="s">
        <v>1</v>
      </c>
      <c r="B54" s="125" t="s">
        <v>233</v>
      </c>
      <c r="C54" s="8" t="s">
        <v>2</v>
      </c>
      <c r="D54" s="116" t="s">
        <v>99</v>
      </c>
      <c r="E54" s="132" t="s">
        <v>281</v>
      </c>
      <c r="F54" s="94" t="s">
        <v>241</v>
      </c>
      <c r="G54" s="134" t="s">
        <v>242</v>
      </c>
      <c r="H54" s="128"/>
      <c r="I54" s="68" t="s">
        <v>243</v>
      </c>
    </row>
    <row r="55" spans="1:9" ht="12.75">
      <c r="A55" s="9"/>
      <c r="B55" s="9" t="s">
        <v>231</v>
      </c>
      <c r="C55" s="9"/>
      <c r="D55" s="117"/>
      <c r="E55" s="127"/>
      <c r="F55" s="83" t="s">
        <v>229</v>
      </c>
      <c r="G55" s="135"/>
      <c r="H55" s="129" t="s">
        <v>88</v>
      </c>
      <c r="I55" s="69" t="s">
        <v>244</v>
      </c>
    </row>
    <row r="56" spans="1:9" ht="12.75">
      <c r="A56" s="60">
        <v>1</v>
      </c>
      <c r="B56" s="25">
        <v>2</v>
      </c>
      <c r="C56" s="25">
        <v>3</v>
      </c>
      <c r="D56" s="30">
        <v>6</v>
      </c>
      <c r="E56" s="100">
        <v>4</v>
      </c>
      <c r="F56" s="100">
        <v>5</v>
      </c>
      <c r="G56" s="100">
        <v>6</v>
      </c>
      <c r="H56" s="105">
        <v>7</v>
      </c>
      <c r="I56" s="106">
        <v>8</v>
      </c>
    </row>
    <row r="57" spans="1:9" s="4" customFormat="1" ht="15">
      <c r="A57" s="114">
        <v>1</v>
      </c>
      <c r="B57" s="12">
        <v>600</v>
      </c>
      <c r="C57" s="13" t="s">
        <v>26</v>
      </c>
      <c r="D57" s="20">
        <f>D58</f>
        <v>0</v>
      </c>
      <c r="E57" s="89">
        <f>E58+E62</f>
        <v>128780</v>
      </c>
      <c r="F57" s="89">
        <f>F58+F62</f>
        <v>159965</v>
      </c>
      <c r="G57" s="89">
        <f>G58+G62</f>
        <v>10477755</v>
      </c>
      <c r="H57" s="113">
        <f>G57/F57</f>
        <v>65.50029693995562</v>
      </c>
      <c r="I57" s="108">
        <f>G57/$G$433</f>
        <v>0.17291005432106768</v>
      </c>
    </row>
    <row r="58" spans="1:9" s="40" customFormat="1" ht="12.75">
      <c r="A58" s="114">
        <f aca="true" t="shared" si="0" ref="A58:A121">A57+1</f>
        <v>2</v>
      </c>
      <c r="B58" s="41">
        <v>60014</v>
      </c>
      <c r="C58" s="38" t="s">
        <v>68</v>
      </c>
      <c r="D58" s="39">
        <f>D61</f>
        <v>0</v>
      </c>
      <c r="E58" s="90">
        <f>E61</f>
        <v>28200</v>
      </c>
      <c r="F58" s="90">
        <f>F61</f>
        <v>28200</v>
      </c>
      <c r="G58" s="90">
        <f>G61</f>
        <v>0</v>
      </c>
      <c r="H58" s="113">
        <f aca="true" t="shared" si="1" ref="H58:H116">G58/F58</f>
        <v>0</v>
      </c>
      <c r="I58" s="108">
        <f>G58/$G$433</f>
        <v>0</v>
      </c>
    </row>
    <row r="59" spans="1:9" s="48" customFormat="1" ht="12.75">
      <c r="A59" s="114">
        <f t="shared" si="0"/>
        <v>3</v>
      </c>
      <c r="B59" s="45">
        <v>2320</v>
      </c>
      <c r="C59" s="49" t="s">
        <v>69</v>
      </c>
      <c r="D59" s="47"/>
      <c r="E59" s="91"/>
      <c r="F59" s="91"/>
      <c r="G59" s="91"/>
      <c r="H59" s="113"/>
      <c r="I59" s="108">
        <f>G59/$G$433</f>
        <v>0</v>
      </c>
    </row>
    <row r="60" spans="1:9" s="48" customFormat="1" ht="12.75">
      <c r="A60" s="114">
        <f t="shared" si="0"/>
        <v>4</v>
      </c>
      <c r="B60" s="45"/>
      <c r="C60" s="49" t="s">
        <v>146</v>
      </c>
      <c r="D60" s="47"/>
      <c r="E60" s="91"/>
      <c r="F60" s="91"/>
      <c r="G60" s="91"/>
      <c r="H60" s="113"/>
      <c r="I60" s="108">
        <f>G60/$G$433</f>
        <v>0</v>
      </c>
    </row>
    <row r="61" spans="1:9" s="48" customFormat="1" ht="12.75">
      <c r="A61" s="114">
        <f t="shared" si="0"/>
        <v>5</v>
      </c>
      <c r="B61" s="45"/>
      <c r="C61" s="49" t="s">
        <v>70</v>
      </c>
      <c r="D61" s="47">
        <v>0</v>
      </c>
      <c r="E61" s="91">
        <v>28200</v>
      </c>
      <c r="F61" s="91">
        <v>28200</v>
      </c>
      <c r="G61" s="91">
        <v>0</v>
      </c>
      <c r="H61" s="113">
        <f t="shared" si="1"/>
        <v>0</v>
      </c>
      <c r="I61" s="108">
        <f>G61/$G$433</f>
        <v>0</v>
      </c>
    </row>
    <row r="62" spans="1:9" s="66" customFormat="1" ht="12.75">
      <c r="A62" s="114">
        <f t="shared" si="0"/>
        <v>6</v>
      </c>
      <c r="B62" s="41">
        <v>60016</v>
      </c>
      <c r="C62" s="64" t="s">
        <v>105</v>
      </c>
      <c r="D62" s="65"/>
      <c r="E62" s="92">
        <f>SUM(E64:E67)</f>
        <v>100580</v>
      </c>
      <c r="F62" s="92">
        <f>SUM(F64:F67)</f>
        <v>131765</v>
      </c>
      <c r="G62" s="92">
        <f>SUM(G64:G67)</f>
        <v>10477755</v>
      </c>
      <c r="H62" s="113">
        <f t="shared" si="1"/>
        <v>79.51849884263652</v>
      </c>
      <c r="I62" s="108">
        <f>G62/$G$433</f>
        <v>0.17291005432106768</v>
      </c>
    </row>
    <row r="63" spans="1:9" s="48" customFormat="1" ht="12.75">
      <c r="A63" s="114">
        <f t="shared" si="0"/>
        <v>7</v>
      </c>
      <c r="B63" s="45" t="s">
        <v>119</v>
      </c>
      <c r="C63" s="49" t="s">
        <v>277</v>
      </c>
      <c r="D63" s="47"/>
      <c r="E63" s="91"/>
      <c r="F63" s="91"/>
      <c r="G63" s="91"/>
      <c r="H63" s="113"/>
      <c r="I63" s="108">
        <f>G63/$G$433</f>
        <v>0</v>
      </c>
    </row>
    <row r="64" spans="1:9" s="48" customFormat="1" ht="12.75">
      <c r="A64" s="114">
        <f t="shared" si="0"/>
        <v>8</v>
      </c>
      <c r="B64" s="52"/>
      <c r="C64" s="49" t="s">
        <v>173</v>
      </c>
      <c r="D64" s="47"/>
      <c r="E64" s="91">
        <v>100000</v>
      </c>
      <c r="F64" s="91">
        <v>130000</v>
      </c>
      <c r="G64" s="91">
        <v>130000</v>
      </c>
      <c r="H64" s="113">
        <f t="shared" si="1"/>
        <v>1</v>
      </c>
      <c r="I64" s="108">
        <f>G64/$G$433</f>
        <v>0.002145336196708054</v>
      </c>
    </row>
    <row r="65" spans="1:9" s="48" customFormat="1" ht="12.75">
      <c r="A65" s="114">
        <f t="shared" si="0"/>
        <v>9</v>
      </c>
      <c r="B65" s="45" t="s">
        <v>124</v>
      </c>
      <c r="C65" s="7" t="s">
        <v>92</v>
      </c>
      <c r="D65" s="47"/>
      <c r="E65" s="91">
        <v>400</v>
      </c>
      <c r="F65" s="91">
        <v>400</v>
      </c>
      <c r="G65" s="91">
        <v>0</v>
      </c>
      <c r="H65" s="113">
        <f t="shared" si="1"/>
        <v>0</v>
      </c>
      <c r="I65" s="108">
        <f>G65/$G$433</f>
        <v>0</v>
      </c>
    </row>
    <row r="66" spans="1:9" s="48" customFormat="1" ht="12.75">
      <c r="A66" s="114">
        <f t="shared" si="0"/>
        <v>10</v>
      </c>
      <c r="B66" s="45" t="s">
        <v>122</v>
      </c>
      <c r="C66" s="49" t="s">
        <v>48</v>
      </c>
      <c r="D66" s="47"/>
      <c r="E66" s="91">
        <v>180</v>
      </c>
      <c r="F66" s="91">
        <v>1365</v>
      </c>
      <c r="G66" s="91">
        <v>0</v>
      </c>
      <c r="H66" s="113">
        <f t="shared" si="1"/>
        <v>0</v>
      </c>
      <c r="I66" s="108">
        <f>G66/$G$433</f>
        <v>0</v>
      </c>
    </row>
    <row r="67" spans="1:9" s="48" customFormat="1" ht="12.75">
      <c r="A67" s="114">
        <f t="shared" si="0"/>
        <v>11</v>
      </c>
      <c r="B67" s="45">
        <v>6200</v>
      </c>
      <c r="C67" s="49" t="s">
        <v>280</v>
      </c>
      <c r="D67" s="47"/>
      <c r="E67" s="91">
        <v>0</v>
      </c>
      <c r="F67" s="91">
        <v>0</v>
      </c>
      <c r="G67" s="91">
        <v>10347755</v>
      </c>
      <c r="H67" s="113"/>
      <c r="I67" s="108">
        <f>G67/$G$433</f>
        <v>0.17076471812435962</v>
      </c>
    </row>
    <row r="68" spans="1:11" s="4" customFormat="1" ht="15">
      <c r="A68" s="114">
        <f t="shared" si="0"/>
        <v>12</v>
      </c>
      <c r="B68" s="12">
        <v>700</v>
      </c>
      <c r="C68" s="13" t="s">
        <v>28</v>
      </c>
      <c r="D68" s="20" t="e">
        <f>#REF!+D69+D96</f>
        <v>#REF!</v>
      </c>
      <c r="E68" s="89">
        <f>E69+E96+E100</f>
        <v>13976868</v>
      </c>
      <c r="F68" s="89">
        <f>F69+F96+F100</f>
        <v>10926145.42</v>
      </c>
      <c r="G68" s="89">
        <f>G69+G96+G100</f>
        <v>30942929</v>
      </c>
      <c r="H68" s="113">
        <f t="shared" si="1"/>
        <v>2.832007795114995</v>
      </c>
      <c r="I68" s="108">
        <f>G68/$G$433</f>
        <v>0.5106383508912874</v>
      </c>
      <c r="K68" s="61"/>
    </row>
    <row r="69" spans="1:9" s="3" customFormat="1" ht="12.75">
      <c r="A69" s="114">
        <f t="shared" si="0"/>
        <v>13</v>
      </c>
      <c r="B69" s="14">
        <v>70005</v>
      </c>
      <c r="C69" s="15" t="s">
        <v>9</v>
      </c>
      <c r="D69" s="21" t="e">
        <f>D71+D79+D82+D85+#REF!+#REF!+D93+D94</f>
        <v>#REF!</v>
      </c>
      <c r="E69" s="93">
        <f>E71+E79+E82+E85+E86+E93+E95</f>
        <v>13137268</v>
      </c>
      <c r="F69" s="93">
        <f>F71+F79+F82+F85+F86+F93+F95</f>
        <v>10148493.42</v>
      </c>
      <c r="G69" s="93">
        <f>G71+G79+G82+G85+G86+G93+G95</f>
        <v>30000569</v>
      </c>
      <c r="H69" s="113">
        <f t="shared" si="1"/>
        <v>2.956159871067838</v>
      </c>
      <c r="I69" s="108">
        <f>G69/$G$433</f>
        <v>0.49508697382721195</v>
      </c>
    </row>
    <row r="70" spans="1:9" ht="12.75">
      <c r="A70" s="114">
        <f t="shared" si="0"/>
        <v>14</v>
      </c>
      <c r="B70" s="42" t="s">
        <v>125</v>
      </c>
      <c r="C70" s="7" t="s">
        <v>56</v>
      </c>
      <c r="D70" s="27"/>
      <c r="E70" s="94"/>
      <c r="F70" s="94"/>
      <c r="G70" s="94"/>
      <c r="H70" s="113"/>
      <c r="I70" s="108">
        <f>G70/$G$433</f>
        <v>0</v>
      </c>
    </row>
    <row r="71" spans="1:9" ht="12.75">
      <c r="A71" s="114">
        <f t="shared" si="0"/>
        <v>15</v>
      </c>
      <c r="B71" s="42"/>
      <c r="C71" s="7" t="s">
        <v>57</v>
      </c>
      <c r="D71" s="27">
        <f>600000+30000+50000</f>
        <v>680000</v>
      </c>
      <c r="E71" s="94">
        <f>SUM(E73:E75)</f>
        <v>908223</v>
      </c>
      <c r="F71" s="94">
        <f>SUM(F73:F75)</f>
        <v>1135948</v>
      </c>
      <c r="G71" s="94">
        <f>SUM(G73:G75)</f>
        <v>905169</v>
      </c>
      <c r="H71" s="113">
        <f t="shared" si="1"/>
        <v>0.7968401722614064</v>
      </c>
      <c r="I71" s="108">
        <f>G71/$G$433</f>
        <v>0.014937629383369483</v>
      </c>
    </row>
    <row r="72" spans="1:9" ht="12.75">
      <c r="A72" s="114">
        <f t="shared" si="0"/>
        <v>16</v>
      </c>
      <c r="B72" s="42"/>
      <c r="C72" s="7" t="s">
        <v>8</v>
      </c>
      <c r="D72" s="27"/>
      <c r="E72" s="94"/>
      <c r="F72" s="94"/>
      <c r="G72" s="94"/>
      <c r="H72" s="113"/>
      <c r="I72" s="108">
        <f>G72/$G$433</f>
        <v>0</v>
      </c>
    </row>
    <row r="73" spans="1:9" ht="12.75">
      <c r="A73" s="114">
        <f t="shared" si="0"/>
        <v>17</v>
      </c>
      <c r="B73" s="42"/>
      <c r="C73" s="7" t="s">
        <v>111</v>
      </c>
      <c r="D73" s="27"/>
      <c r="E73" s="94">
        <v>900000</v>
      </c>
      <c r="F73" s="94">
        <f>1026000+105000</f>
        <v>1131000</v>
      </c>
      <c r="G73" s="94">
        <v>900000</v>
      </c>
      <c r="H73" s="113">
        <f t="shared" si="1"/>
        <v>0.7957559681697612</v>
      </c>
      <c r="I73" s="108">
        <f>G73/$G$433</f>
        <v>0.014852327515671145</v>
      </c>
    </row>
    <row r="74" spans="1:9" ht="12.75">
      <c r="A74" s="114">
        <f t="shared" si="0"/>
        <v>18</v>
      </c>
      <c r="B74" s="42"/>
      <c r="C74" s="43" t="s">
        <v>118</v>
      </c>
      <c r="D74" s="27"/>
      <c r="E74" s="94">
        <v>5000</v>
      </c>
      <c r="F74" s="94">
        <v>1725</v>
      </c>
      <c r="G74" s="94">
        <v>2000</v>
      </c>
      <c r="H74" s="113">
        <f t="shared" si="1"/>
        <v>1.1594202898550725</v>
      </c>
      <c r="I74" s="108">
        <f>G74/$G$433</f>
        <v>3.3005172257046985E-05</v>
      </c>
    </row>
    <row r="75" spans="1:9" ht="12.75">
      <c r="A75" s="114">
        <f t="shared" si="0"/>
        <v>19</v>
      </c>
      <c r="B75" s="42"/>
      <c r="C75" s="43" t="s">
        <v>191</v>
      </c>
      <c r="D75" s="27"/>
      <c r="E75" s="94">
        <v>3223</v>
      </c>
      <c r="F75" s="94">
        <v>3223</v>
      </c>
      <c r="G75" s="94">
        <v>3169</v>
      </c>
      <c r="H75" s="113">
        <f t="shared" si="1"/>
        <v>0.9832454235184611</v>
      </c>
      <c r="I75" s="108">
        <f>G75/$G$433</f>
        <v>5.2296695441290955E-05</v>
      </c>
    </row>
    <row r="76" spans="1:9" ht="12.75">
      <c r="A76" s="114">
        <f t="shared" si="0"/>
        <v>20</v>
      </c>
      <c r="B76" s="42" t="s">
        <v>126</v>
      </c>
      <c r="C76" s="7" t="s">
        <v>51</v>
      </c>
      <c r="D76" s="27"/>
      <c r="E76" s="94"/>
      <c r="F76" s="94"/>
      <c r="G76" s="94"/>
      <c r="H76" s="113"/>
      <c r="I76" s="108">
        <f>G76/$G$433</f>
        <v>0</v>
      </c>
    </row>
    <row r="77" spans="1:9" ht="12.75">
      <c r="A77" s="114">
        <f t="shared" si="0"/>
        <v>21</v>
      </c>
      <c r="B77" s="42"/>
      <c r="C77" s="43" t="s">
        <v>112</v>
      </c>
      <c r="D77" s="27"/>
      <c r="E77" s="94"/>
      <c r="F77" s="94"/>
      <c r="G77" s="94"/>
      <c r="H77" s="113"/>
      <c r="I77" s="108">
        <f>G77/$G$433</f>
        <v>0</v>
      </c>
    </row>
    <row r="78" spans="1:9" ht="12.75">
      <c r="A78" s="114">
        <f t="shared" si="0"/>
        <v>22</v>
      </c>
      <c r="B78" s="42"/>
      <c r="C78" s="7" t="s">
        <v>113</v>
      </c>
      <c r="D78" s="27"/>
      <c r="E78" s="94"/>
      <c r="F78" s="94"/>
      <c r="G78" s="94"/>
      <c r="H78" s="113"/>
      <c r="I78" s="108">
        <f>G78/$G$433</f>
        <v>0</v>
      </c>
    </row>
    <row r="79" spans="1:9" ht="12.75">
      <c r="A79" s="114">
        <f t="shared" si="0"/>
        <v>23</v>
      </c>
      <c r="B79" s="42"/>
      <c r="C79" s="7" t="s">
        <v>114</v>
      </c>
      <c r="D79" s="27">
        <v>1015000</v>
      </c>
      <c r="E79" s="94">
        <v>1200000</v>
      </c>
      <c r="F79" s="94">
        <f>1445500+123000</f>
        <v>1568500</v>
      </c>
      <c r="G79" s="94">
        <v>1400000</v>
      </c>
      <c r="H79" s="113">
        <f t="shared" si="1"/>
        <v>0.8925725215173733</v>
      </c>
      <c r="I79" s="108">
        <f>G79/$G$433</f>
        <v>0.02310362057993289</v>
      </c>
    </row>
    <row r="80" spans="1:9" ht="12.75">
      <c r="A80" s="114">
        <f t="shared" si="0"/>
        <v>24</v>
      </c>
      <c r="B80" s="42" t="s">
        <v>127</v>
      </c>
      <c r="C80" s="7" t="s">
        <v>53</v>
      </c>
      <c r="D80" s="27"/>
      <c r="E80" s="94"/>
      <c r="F80" s="94"/>
      <c r="G80" s="94"/>
      <c r="H80" s="113"/>
      <c r="I80" s="108">
        <f>G80/$G$433</f>
        <v>0</v>
      </c>
    </row>
    <row r="81" spans="1:9" ht="12.75">
      <c r="A81" s="114">
        <f t="shared" si="0"/>
        <v>25</v>
      </c>
      <c r="B81" s="42"/>
      <c r="C81" s="7" t="s">
        <v>54</v>
      </c>
      <c r="D81" s="27"/>
      <c r="E81" s="94"/>
      <c r="F81" s="94"/>
      <c r="G81" s="94"/>
      <c r="H81" s="113"/>
      <c r="I81" s="108">
        <f>G81/$G$433</f>
        <v>0</v>
      </c>
    </row>
    <row r="82" spans="1:9" ht="12.75">
      <c r="A82" s="114">
        <f t="shared" si="0"/>
        <v>26</v>
      </c>
      <c r="B82" s="42"/>
      <c r="C82" s="7" t="s">
        <v>55</v>
      </c>
      <c r="D82" s="27">
        <v>100000</v>
      </c>
      <c r="E82" s="94">
        <v>200000</v>
      </c>
      <c r="F82" s="94">
        <f>142112+6000</f>
        <v>148112</v>
      </c>
      <c r="G82" s="94">
        <v>140000</v>
      </c>
      <c r="H82" s="113">
        <f t="shared" si="1"/>
        <v>0.9452306362752512</v>
      </c>
      <c r="I82" s="108">
        <f>G82/$G$433</f>
        <v>0.0023103620579932893</v>
      </c>
    </row>
    <row r="83" spans="1:9" ht="12.75">
      <c r="A83" s="114">
        <f t="shared" si="0"/>
        <v>27</v>
      </c>
      <c r="B83" s="42" t="s">
        <v>128</v>
      </c>
      <c r="C83" s="7" t="s">
        <v>73</v>
      </c>
      <c r="D83" s="27"/>
      <c r="E83" s="94"/>
      <c r="F83" s="94"/>
      <c r="G83" s="94"/>
      <c r="H83" s="113"/>
      <c r="I83" s="108">
        <f>G83/$G$433</f>
        <v>0</v>
      </c>
    </row>
    <row r="84" spans="1:9" ht="12.75">
      <c r="A84" s="114">
        <f t="shared" si="0"/>
        <v>28</v>
      </c>
      <c r="B84" s="42"/>
      <c r="C84" s="7" t="s">
        <v>168</v>
      </c>
      <c r="D84" s="27"/>
      <c r="E84" s="94"/>
      <c r="F84" s="94"/>
      <c r="G84" s="94"/>
      <c r="H84" s="113"/>
      <c r="I84" s="108">
        <f>G84/$G$433</f>
        <v>0</v>
      </c>
    </row>
    <row r="85" spans="1:9" ht="12.75">
      <c r="A85" s="114">
        <f t="shared" si="0"/>
        <v>29</v>
      </c>
      <c r="B85" s="42"/>
      <c r="C85" s="7" t="s">
        <v>169</v>
      </c>
      <c r="D85" s="27">
        <v>0</v>
      </c>
      <c r="E85" s="94">
        <v>800000</v>
      </c>
      <c r="F85" s="94">
        <f>663760+460000</f>
        <v>1123760</v>
      </c>
      <c r="G85" s="94">
        <v>1200000</v>
      </c>
      <c r="H85" s="113">
        <f t="shared" si="1"/>
        <v>1.0678436676870506</v>
      </c>
      <c r="I85" s="108">
        <f>G85/$G$433</f>
        <v>0.019803103354228194</v>
      </c>
    </row>
    <row r="86" spans="1:9" ht="12.75">
      <c r="A86" s="114">
        <f t="shared" si="0"/>
        <v>30</v>
      </c>
      <c r="B86" s="42" t="s">
        <v>171</v>
      </c>
      <c r="C86" s="43" t="s">
        <v>172</v>
      </c>
      <c r="D86" s="27"/>
      <c r="E86" s="94">
        <f>SUM(E88:E92)</f>
        <v>9953045</v>
      </c>
      <c r="F86" s="94">
        <f>SUM(F88:F92)</f>
        <v>6124573.42</v>
      </c>
      <c r="G86" s="94">
        <f>SUM(G88:G92)</f>
        <v>26307800</v>
      </c>
      <c r="H86" s="113">
        <f t="shared" si="1"/>
        <v>4.295450180104135</v>
      </c>
      <c r="I86" s="108">
        <f>G86/$G$433</f>
        <v>0.43414673535197035</v>
      </c>
    </row>
    <row r="87" spans="1:9" ht="12.75">
      <c r="A87" s="114">
        <f t="shared" si="0"/>
        <v>31</v>
      </c>
      <c r="B87" s="42"/>
      <c r="C87" s="7" t="s">
        <v>8</v>
      </c>
      <c r="D87" s="27"/>
      <c r="E87" s="94"/>
      <c r="F87" s="94"/>
      <c r="G87" s="94"/>
      <c r="H87" s="113"/>
      <c r="I87" s="108">
        <f>G87/$G$433</f>
        <v>0</v>
      </c>
    </row>
    <row r="88" spans="1:9" ht="12.75">
      <c r="A88" s="114">
        <f t="shared" si="0"/>
        <v>32</v>
      </c>
      <c r="B88" s="42"/>
      <c r="C88" s="7" t="s">
        <v>245</v>
      </c>
      <c r="D88" s="27"/>
      <c r="E88" s="94">
        <f>10032359-289314</f>
        <v>9743045</v>
      </c>
      <c r="F88" s="94">
        <f>6000000-974442.58-172000+500000</f>
        <v>5353557.42</v>
      </c>
      <c r="G88" s="94">
        <f>22050000+3500000+650000</f>
        <v>26200000</v>
      </c>
      <c r="H88" s="113">
        <f t="shared" si="1"/>
        <v>4.893942092060348</v>
      </c>
      <c r="I88" s="108">
        <f>G88/$G$433</f>
        <v>0.4323677565673155</v>
      </c>
    </row>
    <row r="89" spans="1:9" ht="12.75">
      <c r="A89" s="114">
        <f t="shared" si="0"/>
        <v>33</v>
      </c>
      <c r="B89" s="42"/>
      <c r="C89" s="7" t="s">
        <v>246</v>
      </c>
      <c r="D89" s="27"/>
      <c r="E89" s="94">
        <v>200000</v>
      </c>
      <c r="F89" s="94">
        <v>57824</v>
      </c>
      <c r="G89" s="94">
        <v>100000</v>
      </c>
      <c r="H89" s="113">
        <f t="shared" si="1"/>
        <v>1.7293857221914777</v>
      </c>
      <c r="I89" s="108">
        <f>G89/$G$433</f>
        <v>0.0016502586128523493</v>
      </c>
    </row>
    <row r="90" spans="1:9" ht="12.75">
      <c r="A90" s="114">
        <f t="shared" si="0"/>
        <v>34</v>
      </c>
      <c r="B90" s="42"/>
      <c r="C90" s="7" t="s">
        <v>174</v>
      </c>
      <c r="D90" s="27"/>
      <c r="E90" s="94">
        <v>10000</v>
      </c>
      <c r="F90" s="94">
        <v>4557</v>
      </c>
      <c r="G90" s="94">
        <v>7800</v>
      </c>
      <c r="H90" s="113">
        <f t="shared" si="1"/>
        <v>1.7116524028966424</v>
      </c>
      <c r="I90" s="108">
        <f>G90/$G$433</f>
        <v>0.00012872017180248326</v>
      </c>
    </row>
    <row r="91" spans="1:9" ht="12.75">
      <c r="A91" s="114">
        <f t="shared" si="0"/>
        <v>35</v>
      </c>
      <c r="B91" s="42"/>
      <c r="C91" s="7" t="s">
        <v>247</v>
      </c>
      <c r="D91" s="27"/>
      <c r="E91" s="94">
        <v>0</v>
      </c>
      <c r="F91" s="94">
        <f>655137+45000</f>
        <v>700137</v>
      </c>
      <c r="G91" s="94">
        <v>0</v>
      </c>
      <c r="H91" s="113">
        <f t="shared" si="1"/>
        <v>0</v>
      </c>
      <c r="I91" s="108">
        <f>G91/$G$433</f>
        <v>0</v>
      </c>
    </row>
    <row r="92" spans="1:9" ht="12.75">
      <c r="A92" s="114">
        <f t="shared" si="0"/>
        <v>36</v>
      </c>
      <c r="B92" s="42"/>
      <c r="C92" s="7" t="s">
        <v>248</v>
      </c>
      <c r="D92" s="27"/>
      <c r="E92" s="94">
        <v>0</v>
      </c>
      <c r="F92" s="94">
        <v>8498</v>
      </c>
      <c r="G92" s="94">
        <v>0</v>
      </c>
      <c r="H92" s="113">
        <f t="shared" si="1"/>
        <v>0</v>
      </c>
      <c r="I92" s="108">
        <f>G92/$G$433</f>
        <v>0</v>
      </c>
    </row>
    <row r="93" spans="1:9" ht="12.75">
      <c r="A93" s="114">
        <f t="shared" si="0"/>
        <v>37</v>
      </c>
      <c r="B93" s="42" t="s">
        <v>130</v>
      </c>
      <c r="C93" s="7" t="s">
        <v>63</v>
      </c>
      <c r="D93" s="27">
        <v>35000</v>
      </c>
      <c r="E93" s="94">
        <v>66000</v>
      </c>
      <c r="F93" s="94">
        <v>38900</v>
      </c>
      <c r="G93" s="94">
        <v>38900</v>
      </c>
      <c r="H93" s="113">
        <f t="shared" si="1"/>
        <v>1</v>
      </c>
      <c r="I93" s="108">
        <f>G93/$G$433</f>
        <v>0.0006419506003995639</v>
      </c>
    </row>
    <row r="94" spans="1:9" ht="12.75">
      <c r="A94" s="114">
        <f t="shared" si="0"/>
        <v>38</v>
      </c>
      <c r="B94" s="42" t="s">
        <v>122</v>
      </c>
      <c r="C94" s="7" t="s">
        <v>58</v>
      </c>
      <c r="D94" s="27" t="e">
        <f>#REF!</f>
        <v>#REF!</v>
      </c>
      <c r="E94" s="94"/>
      <c r="F94" s="94"/>
      <c r="G94" s="94"/>
      <c r="H94" s="113"/>
      <c r="I94" s="108">
        <f>G94/$G$433</f>
        <v>0</v>
      </c>
    </row>
    <row r="95" spans="1:9" ht="12.75">
      <c r="A95" s="114">
        <f t="shared" si="0"/>
        <v>39</v>
      </c>
      <c r="B95" s="42"/>
      <c r="C95" s="43" t="s">
        <v>149</v>
      </c>
      <c r="D95" s="27"/>
      <c r="E95" s="94">
        <v>10000</v>
      </c>
      <c r="F95" s="94">
        <v>8700</v>
      </c>
      <c r="G95" s="94">
        <v>8700</v>
      </c>
      <c r="H95" s="113">
        <f t="shared" si="1"/>
        <v>1</v>
      </c>
      <c r="I95" s="108">
        <f>G95/$G$433</f>
        <v>0.0001435724993181544</v>
      </c>
    </row>
    <row r="96" spans="1:9" s="40" customFormat="1" ht="12.75">
      <c r="A96" s="114">
        <f t="shared" si="0"/>
        <v>40</v>
      </c>
      <c r="B96" s="41">
        <v>70021</v>
      </c>
      <c r="C96" s="53" t="s">
        <v>100</v>
      </c>
      <c r="D96" s="39">
        <f>D99</f>
        <v>98672</v>
      </c>
      <c r="E96" s="90">
        <f>SUM(E97:E99)</f>
        <v>18000</v>
      </c>
      <c r="F96" s="90">
        <f>SUM(F97:F99)</f>
        <v>11416</v>
      </c>
      <c r="G96" s="90">
        <f>SUM(G97:G99)</f>
        <v>18000</v>
      </c>
      <c r="H96" s="113">
        <f t="shared" si="1"/>
        <v>1.5767344078486334</v>
      </c>
      <c r="I96" s="108">
        <f>G96/$G$433</f>
        <v>0.0002970465503134229</v>
      </c>
    </row>
    <row r="97" spans="1:9" s="51" customFormat="1" ht="12.75">
      <c r="A97" s="114">
        <f t="shared" si="0"/>
        <v>41</v>
      </c>
      <c r="B97" s="45" t="s">
        <v>130</v>
      </c>
      <c r="C97" s="43" t="s">
        <v>63</v>
      </c>
      <c r="D97" s="50"/>
      <c r="E97" s="95">
        <v>5000</v>
      </c>
      <c r="F97" s="95">
        <v>1770</v>
      </c>
      <c r="G97" s="95">
        <v>5000</v>
      </c>
      <c r="H97" s="113">
        <f t="shared" si="1"/>
        <v>2.824858757062147</v>
      </c>
      <c r="I97" s="108">
        <f>G97/$G$433</f>
        <v>8.251293064261747E-05</v>
      </c>
    </row>
    <row r="98" spans="1:9" ht="12.75">
      <c r="A98" s="114">
        <f t="shared" si="0"/>
        <v>42</v>
      </c>
      <c r="B98" s="45" t="s">
        <v>122</v>
      </c>
      <c r="C98" s="43" t="s">
        <v>48</v>
      </c>
      <c r="D98" s="27"/>
      <c r="E98" s="94"/>
      <c r="F98" s="94"/>
      <c r="G98" s="94"/>
      <c r="H98" s="113"/>
      <c r="I98" s="108">
        <f>G98/$G$433</f>
        <v>0</v>
      </c>
    </row>
    <row r="99" spans="1:9" ht="12.75">
      <c r="A99" s="114">
        <f t="shared" si="0"/>
        <v>43</v>
      </c>
      <c r="B99" s="57"/>
      <c r="C99" s="63" t="s">
        <v>104</v>
      </c>
      <c r="D99" s="27">
        <f>13332+9083+32724+35748+7785</f>
        <v>98672</v>
      </c>
      <c r="E99" s="94">
        <v>13000</v>
      </c>
      <c r="F99" s="94">
        <v>9646</v>
      </c>
      <c r="G99" s="94">
        <v>13000</v>
      </c>
      <c r="H99" s="113">
        <f t="shared" si="1"/>
        <v>1.3477088948787062</v>
      </c>
      <c r="I99" s="108">
        <f>G99/$G$433</f>
        <v>0.00021453361967080543</v>
      </c>
    </row>
    <row r="100" spans="1:9" s="40" customFormat="1" ht="12.75">
      <c r="A100" s="114">
        <f t="shared" si="0"/>
        <v>44</v>
      </c>
      <c r="B100" s="41">
        <v>70095</v>
      </c>
      <c r="C100" s="38" t="s">
        <v>7</v>
      </c>
      <c r="D100" s="39"/>
      <c r="E100" s="90">
        <f>E101+E112+E111</f>
        <v>821600</v>
      </c>
      <c r="F100" s="90">
        <f>F101+F112+F111</f>
        <v>766236</v>
      </c>
      <c r="G100" s="90">
        <f>G101+G112+G111</f>
        <v>924360</v>
      </c>
      <c r="H100" s="113">
        <f t="shared" si="1"/>
        <v>1.2063646187336539</v>
      </c>
      <c r="I100" s="108">
        <f>G100/$G$433</f>
        <v>0.015254330513761977</v>
      </c>
    </row>
    <row r="101" spans="1:9" s="51" customFormat="1" ht="12.75">
      <c r="A101" s="114">
        <f t="shared" si="0"/>
        <v>45</v>
      </c>
      <c r="B101" s="45" t="s">
        <v>126</v>
      </c>
      <c r="C101" s="7" t="s">
        <v>51</v>
      </c>
      <c r="D101" s="50"/>
      <c r="E101" s="95">
        <f>SUM(E106:E110)</f>
        <v>815000</v>
      </c>
      <c r="F101" s="95">
        <f>SUM(F106:F110)</f>
        <v>759555</v>
      </c>
      <c r="G101" s="95">
        <f>SUM(G106:G110)</f>
        <v>924360</v>
      </c>
      <c r="H101" s="113">
        <f t="shared" si="1"/>
        <v>1.2169757292098664</v>
      </c>
      <c r="I101" s="108">
        <f>G101/$G$433</f>
        <v>0.015254330513761977</v>
      </c>
    </row>
    <row r="102" spans="1:9" s="51" customFormat="1" ht="12.75">
      <c r="A102" s="114">
        <f t="shared" si="0"/>
        <v>46</v>
      </c>
      <c r="B102" s="45"/>
      <c r="C102" s="43" t="s">
        <v>112</v>
      </c>
      <c r="D102" s="50"/>
      <c r="E102" s="95"/>
      <c r="F102" s="95"/>
      <c r="G102" s="95"/>
      <c r="H102" s="113"/>
      <c r="I102" s="108"/>
    </row>
    <row r="103" spans="1:9" s="51" customFormat="1" ht="12.75">
      <c r="A103" s="114">
        <f t="shared" si="0"/>
        <v>47</v>
      </c>
      <c r="B103" s="45"/>
      <c r="C103" s="7" t="s">
        <v>113</v>
      </c>
      <c r="D103" s="50"/>
      <c r="E103" s="95"/>
      <c r="F103" s="95"/>
      <c r="G103" s="95"/>
      <c r="H103" s="113"/>
      <c r="I103" s="108"/>
    </row>
    <row r="104" spans="1:9" s="51" customFormat="1" ht="12.75">
      <c r="A104" s="114">
        <f t="shared" si="0"/>
        <v>48</v>
      </c>
      <c r="B104" s="45"/>
      <c r="C104" s="7" t="s">
        <v>114</v>
      </c>
      <c r="D104" s="50"/>
      <c r="E104" s="95"/>
      <c r="F104" s="95"/>
      <c r="G104" s="95"/>
      <c r="H104" s="113"/>
      <c r="I104" s="108"/>
    </row>
    <row r="105" spans="1:9" s="51" customFormat="1" ht="12.75">
      <c r="A105" s="114">
        <f t="shared" si="0"/>
        <v>49</v>
      </c>
      <c r="B105" s="45"/>
      <c r="C105" s="44" t="s">
        <v>8</v>
      </c>
      <c r="D105" s="50"/>
      <c r="E105" s="95"/>
      <c r="F105" s="95"/>
      <c r="G105" s="95"/>
      <c r="H105" s="113"/>
      <c r="I105" s="108">
        <f>G105/$G$433</f>
        <v>0</v>
      </c>
    </row>
    <row r="106" spans="1:9" s="51" customFormat="1" ht="12.75">
      <c r="A106" s="114">
        <f t="shared" si="0"/>
        <v>50</v>
      </c>
      <c r="B106" s="52"/>
      <c r="C106" s="44" t="s">
        <v>194</v>
      </c>
      <c r="D106" s="50"/>
      <c r="E106" s="95">
        <v>565000</v>
      </c>
      <c r="F106" s="95">
        <f>477000+135000</f>
        <v>612000</v>
      </c>
      <c r="G106" s="95">
        <v>777740</v>
      </c>
      <c r="H106" s="113">
        <f t="shared" si="1"/>
        <v>1.2708169934640523</v>
      </c>
      <c r="I106" s="108">
        <f>G106/$G$433</f>
        <v>0.012834721335597862</v>
      </c>
    </row>
    <row r="107" spans="1:9" s="51" customFormat="1" ht="12.75">
      <c r="A107" s="114">
        <f t="shared" si="0"/>
        <v>51</v>
      </c>
      <c r="B107" s="52"/>
      <c r="C107" s="44" t="s">
        <v>205</v>
      </c>
      <c r="D107" s="50"/>
      <c r="E107" s="95">
        <v>150000</v>
      </c>
      <c r="F107" s="95">
        <f>42930+16000</f>
        <v>58930</v>
      </c>
      <c r="G107" s="95">
        <v>76620</v>
      </c>
      <c r="H107" s="113">
        <f t="shared" si="1"/>
        <v>1.300186662141524</v>
      </c>
      <c r="I107" s="108">
        <f>G107/$G$433</f>
        <v>0.0012644281491674702</v>
      </c>
    </row>
    <row r="108" spans="1:9" s="51" customFormat="1" ht="12.75">
      <c r="A108" s="114">
        <f t="shared" si="0"/>
        <v>52</v>
      </c>
      <c r="B108" s="52"/>
      <c r="C108" s="44" t="s">
        <v>194</v>
      </c>
      <c r="D108" s="50"/>
      <c r="E108" s="95"/>
      <c r="F108" s="95"/>
      <c r="G108" s="95"/>
      <c r="H108" s="113"/>
      <c r="I108" s="108">
        <f>G108/$G$433</f>
        <v>0</v>
      </c>
    </row>
    <row r="109" spans="1:9" s="51" customFormat="1" ht="12.75">
      <c r="A109" s="114">
        <f t="shared" si="0"/>
        <v>53</v>
      </c>
      <c r="B109" s="52"/>
      <c r="C109" s="44" t="s">
        <v>198</v>
      </c>
      <c r="D109" s="50"/>
      <c r="E109" s="95">
        <v>100000</v>
      </c>
      <c r="F109" s="95">
        <f>66875+12000</f>
        <v>78875</v>
      </c>
      <c r="G109" s="95">
        <v>70000</v>
      </c>
      <c r="H109" s="113">
        <f t="shared" si="1"/>
        <v>0.8874801901743264</v>
      </c>
      <c r="I109" s="108">
        <f>G109/$G$433</f>
        <v>0.0011551810289966446</v>
      </c>
    </row>
    <row r="110" spans="1:9" s="51" customFormat="1" ht="12.75">
      <c r="A110" s="114">
        <f t="shared" si="0"/>
        <v>54</v>
      </c>
      <c r="B110" s="52"/>
      <c r="C110" s="44" t="s">
        <v>206</v>
      </c>
      <c r="D110" s="50"/>
      <c r="E110" s="95">
        <v>0</v>
      </c>
      <c r="F110" s="95">
        <v>9750</v>
      </c>
      <c r="G110" s="95">
        <v>0</v>
      </c>
      <c r="H110" s="113">
        <f t="shared" si="1"/>
        <v>0</v>
      </c>
      <c r="I110" s="108">
        <f>G110/$G$433</f>
        <v>0</v>
      </c>
    </row>
    <row r="111" spans="1:9" s="51" customFormat="1" ht="12.75">
      <c r="A111" s="114">
        <f t="shared" si="0"/>
        <v>55</v>
      </c>
      <c r="B111" s="52" t="s">
        <v>130</v>
      </c>
      <c r="C111" s="43" t="s">
        <v>63</v>
      </c>
      <c r="D111" s="50"/>
      <c r="E111" s="95">
        <v>0</v>
      </c>
      <c r="F111" s="95">
        <v>72</v>
      </c>
      <c r="G111" s="95">
        <v>0</v>
      </c>
      <c r="H111" s="113">
        <f t="shared" si="1"/>
        <v>0</v>
      </c>
      <c r="I111" s="108">
        <f>G111/$G$433</f>
        <v>0</v>
      </c>
    </row>
    <row r="112" spans="1:9" s="51" customFormat="1" ht="12.75">
      <c r="A112" s="114">
        <f t="shared" si="0"/>
        <v>56</v>
      </c>
      <c r="B112" s="45" t="s">
        <v>122</v>
      </c>
      <c r="C112" s="43" t="s">
        <v>175</v>
      </c>
      <c r="D112" s="50"/>
      <c r="E112" s="95">
        <v>6600</v>
      </c>
      <c r="F112" s="95">
        <v>6609</v>
      </c>
      <c r="G112" s="95">
        <v>0</v>
      </c>
      <c r="H112" s="113">
        <f t="shared" si="1"/>
        <v>0</v>
      </c>
      <c r="I112" s="108">
        <f>G112/$G$433</f>
        <v>0</v>
      </c>
    </row>
    <row r="113" spans="1:9" s="36" customFormat="1" ht="15">
      <c r="A113" s="114">
        <f t="shared" si="0"/>
        <v>57</v>
      </c>
      <c r="B113" s="37">
        <v>710</v>
      </c>
      <c r="C113" s="34" t="s">
        <v>89</v>
      </c>
      <c r="D113" s="35">
        <f>D122</f>
        <v>62000</v>
      </c>
      <c r="E113" s="86">
        <f>E114+E117</f>
        <v>140</v>
      </c>
      <c r="F113" s="86">
        <f>F114+F117</f>
        <v>456</v>
      </c>
      <c r="G113" s="86">
        <f>G114+G117</f>
        <v>0</v>
      </c>
      <c r="H113" s="113">
        <f t="shared" si="1"/>
        <v>0</v>
      </c>
      <c r="I113" s="108">
        <f>G113/$G$433</f>
        <v>0</v>
      </c>
    </row>
    <row r="114" spans="1:9" s="40" customFormat="1" ht="12.75">
      <c r="A114" s="114">
        <f t="shared" si="0"/>
        <v>58</v>
      </c>
      <c r="B114" s="41">
        <v>71004</v>
      </c>
      <c r="C114" s="53" t="s">
        <v>150</v>
      </c>
      <c r="D114" s="39"/>
      <c r="E114" s="90">
        <f>SUM(E115:E116)</f>
        <v>140</v>
      </c>
      <c r="F114" s="90">
        <f>SUM(F115:F116)</f>
        <v>456</v>
      </c>
      <c r="G114" s="90">
        <f>SUM(G115:G116)</f>
        <v>0</v>
      </c>
      <c r="H114" s="113">
        <f t="shared" si="1"/>
        <v>0</v>
      </c>
      <c r="I114" s="108">
        <f>G114/$G$433</f>
        <v>0</v>
      </c>
    </row>
    <row r="115" spans="1:9" s="51" customFormat="1" ht="12.75">
      <c r="A115" s="114">
        <f t="shared" si="0"/>
        <v>59</v>
      </c>
      <c r="B115" s="45" t="s">
        <v>119</v>
      </c>
      <c r="C115" s="44" t="s">
        <v>151</v>
      </c>
      <c r="D115" s="50"/>
      <c r="E115" s="95">
        <v>0</v>
      </c>
      <c r="F115" s="95">
        <v>0</v>
      </c>
      <c r="G115" s="95">
        <v>0</v>
      </c>
      <c r="H115" s="113"/>
      <c r="I115" s="108">
        <f>G115/$G$433</f>
        <v>0</v>
      </c>
    </row>
    <row r="116" spans="1:9" s="51" customFormat="1" ht="12.75">
      <c r="A116" s="114">
        <f t="shared" si="0"/>
        <v>60</v>
      </c>
      <c r="B116" s="45" t="s">
        <v>122</v>
      </c>
      <c r="C116" s="43" t="s">
        <v>175</v>
      </c>
      <c r="D116" s="50"/>
      <c r="E116" s="95">
        <v>140</v>
      </c>
      <c r="F116" s="95">
        <v>456</v>
      </c>
      <c r="G116" s="95">
        <v>0</v>
      </c>
      <c r="H116" s="113">
        <f t="shared" si="1"/>
        <v>0</v>
      </c>
      <c r="I116" s="108">
        <f>G116/$G$433</f>
        <v>0</v>
      </c>
    </row>
    <row r="117" spans="1:9" s="40" customFormat="1" ht="12.75">
      <c r="A117" s="114">
        <f t="shared" si="0"/>
        <v>61</v>
      </c>
      <c r="B117" s="41">
        <v>71014</v>
      </c>
      <c r="C117" s="38" t="s">
        <v>106</v>
      </c>
      <c r="D117" s="39"/>
      <c r="E117" s="90">
        <f>SUM(E118:E120)</f>
        <v>0</v>
      </c>
      <c r="F117" s="90">
        <f>SUM(F118:F120)</f>
        <v>0</v>
      </c>
      <c r="G117" s="90">
        <f>SUM(G118:G120)</f>
        <v>0</v>
      </c>
      <c r="H117" s="113"/>
      <c r="I117" s="108">
        <f>G117/$G$433</f>
        <v>0</v>
      </c>
    </row>
    <row r="118" spans="1:9" s="40" customFormat="1" ht="12.75">
      <c r="A118" s="114">
        <f t="shared" si="0"/>
        <v>62</v>
      </c>
      <c r="B118" s="45" t="s">
        <v>119</v>
      </c>
      <c r="C118" s="44" t="s">
        <v>152</v>
      </c>
      <c r="D118" s="39"/>
      <c r="E118" s="96">
        <v>0</v>
      </c>
      <c r="F118" s="96">
        <v>0</v>
      </c>
      <c r="G118" s="96">
        <v>0</v>
      </c>
      <c r="H118" s="113"/>
      <c r="I118" s="108">
        <f>G118/$G$433</f>
        <v>0</v>
      </c>
    </row>
    <row r="119" spans="1:9" s="40" customFormat="1" ht="12.75">
      <c r="A119" s="114">
        <f t="shared" si="0"/>
        <v>63</v>
      </c>
      <c r="B119" s="42" t="s">
        <v>130</v>
      </c>
      <c r="C119" s="7" t="s">
        <v>63</v>
      </c>
      <c r="D119" s="39"/>
      <c r="E119" s="96">
        <v>0</v>
      </c>
      <c r="F119" s="96">
        <v>0</v>
      </c>
      <c r="G119" s="96">
        <v>0</v>
      </c>
      <c r="H119" s="113"/>
      <c r="I119" s="108">
        <f>G119/$G$433</f>
        <v>0</v>
      </c>
    </row>
    <row r="120" spans="1:9" s="51" customFormat="1" ht="12.75">
      <c r="A120" s="114">
        <f t="shared" si="0"/>
        <v>64</v>
      </c>
      <c r="B120" s="45" t="s">
        <v>122</v>
      </c>
      <c r="C120" s="43" t="s">
        <v>175</v>
      </c>
      <c r="D120" s="50"/>
      <c r="E120" s="95">
        <v>0</v>
      </c>
      <c r="F120" s="95">
        <v>0</v>
      </c>
      <c r="G120" s="95">
        <v>0</v>
      </c>
      <c r="H120" s="113"/>
      <c r="I120" s="108">
        <f>G120/$G$433</f>
        <v>0</v>
      </c>
    </row>
    <row r="121" spans="1:9" s="36" customFormat="1" ht="15">
      <c r="A121" s="114">
        <f t="shared" si="0"/>
        <v>65</v>
      </c>
      <c r="B121" s="37">
        <v>750</v>
      </c>
      <c r="C121" s="34" t="s">
        <v>60</v>
      </c>
      <c r="D121" s="35" t="e">
        <f>D122+D130+D141</f>
        <v>#REF!</v>
      </c>
      <c r="E121" s="86">
        <f>E122+E130+E141</f>
        <v>379145</v>
      </c>
      <c r="F121" s="86">
        <f>F122+F130+F141</f>
        <v>399841</v>
      </c>
      <c r="G121" s="86">
        <f>G122+G130+G141</f>
        <v>210500</v>
      </c>
      <c r="H121" s="113">
        <f aca="true" t="shared" si="2" ref="H121:H175">G121/F121</f>
        <v>0.5264592675588546</v>
      </c>
      <c r="I121" s="108">
        <f>G121/$G$433</f>
        <v>0.0034737943800541957</v>
      </c>
    </row>
    <row r="122" spans="1:9" s="3" customFormat="1" ht="12.75">
      <c r="A122" s="114">
        <f aca="true" t="shared" si="3" ref="A122:A187">A121+1</f>
        <v>66</v>
      </c>
      <c r="B122" s="14">
        <v>75011</v>
      </c>
      <c r="C122" s="15" t="s">
        <v>23</v>
      </c>
      <c r="D122" s="21">
        <f>D126</f>
        <v>62000</v>
      </c>
      <c r="E122" s="93">
        <f>SUM(E126:E129)</f>
        <v>72385</v>
      </c>
      <c r="F122" s="93">
        <f>SUM(F126:F129)</f>
        <v>72735</v>
      </c>
      <c r="G122" s="93">
        <f>SUM(G126:G129)</f>
        <v>72000</v>
      </c>
      <c r="H122" s="113">
        <f t="shared" si="2"/>
        <v>0.9898948236749845</v>
      </c>
      <c r="I122" s="108">
        <f>G122/$G$433</f>
        <v>0.0011881862012536916</v>
      </c>
    </row>
    <row r="123" spans="1:9" s="3" customFormat="1" ht="12.75">
      <c r="A123" s="114">
        <f t="shared" si="3"/>
        <v>67</v>
      </c>
      <c r="B123" s="42">
        <v>2010</v>
      </c>
      <c r="C123" s="7" t="s">
        <v>71</v>
      </c>
      <c r="D123" s="21"/>
      <c r="E123" s="93"/>
      <c r="F123" s="93"/>
      <c r="G123" s="93"/>
      <c r="H123" s="113"/>
      <c r="I123" s="108">
        <f>G123/$G$433</f>
        <v>0</v>
      </c>
    </row>
    <row r="124" spans="1:9" s="3" customFormat="1" ht="12.75">
      <c r="A124" s="114">
        <f t="shared" si="3"/>
        <v>68</v>
      </c>
      <c r="B124" s="42"/>
      <c r="C124" s="7" t="s">
        <v>278</v>
      </c>
      <c r="D124" s="21"/>
      <c r="E124" s="93"/>
      <c r="F124" s="93"/>
      <c r="G124" s="93"/>
      <c r="H124" s="113"/>
      <c r="I124" s="108">
        <f>G124/$G$433</f>
        <v>0</v>
      </c>
    </row>
    <row r="125" spans="1:9" s="3" customFormat="1" ht="12.75">
      <c r="A125" s="114">
        <f t="shared" si="3"/>
        <v>69</v>
      </c>
      <c r="B125" s="42"/>
      <c r="C125" s="7" t="s">
        <v>78</v>
      </c>
      <c r="D125" s="21"/>
      <c r="E125" s="93"/>
      <c r="F125" s="93"/>
      <c r="G125" s="93"/>
      <c r="H125" s="113"/>
      <c r="I125" s="108">
        <f>G125/$G$433</f>
        <v>0</v>
      </c>
    </row>
    <row r="126" spans="1:9" s="3" customFormat="1" ht="12.75">
      <c r="A126" s="114">
        <f t="shared" si="3"/>
        <v>70</v>
      </c>
      <c r="B126" s="42"/>
      <c r="C126" s="7" t="s">
        <v>72</v>
      </c>
      <c r="D126" s="50">
        <v>62000</v>
      </c>
      <c r="E126" s="95">
        <f>69000+2085</f>
        <v>71085</v>
      </c>
      <c r="F126" s="95">
        <v>71085</v>
      </c>
      <c r="G126" s="95">
        <v>70000</v>
      </c>
      <c r="H126" s="113">
        <f t="shared" si="2"/>
        <v>0.9847365829640571</v>
      </c>
      <c r="I126" s="108">
        <f aca="true" t="shared" si="4" ref="I126:I191">G126/$G$433</f>
        <v>0.0011551810289966446</v>
      </c>
    </row>
    <row r="127" spans="1:9" s="3" customFormat="1" ht="12.75">
      <c r="A127" s="114">
        <f t="shared" si="3"/>
        <v>71</v>
      </c>
      <c r="B127" s="42">
        <v>2360</v>
      </c>
      <c r="C127" s="7" t="s">
        <v>176</v>
      </c>
      <c r="D127" s="50"/>
      <c r="E127" s="95"/>
      <c r="F127" s="95"/>
      <c r="G127" s="95"/>
      <c r="H127" s="113"/>
      <c r="I127" s="108">
        <f t="shared" si="4"/>
        <v>0</v>
      </c>
    </row>
    <row r="128" spans="1:9" s="3" customFormat="1" ht="12.75">
      <c r="A128" s="114">
        <f t="shared" si="3"/>
        <v>72</v>
      </c>
      <c r="B128" s="42"/>
      <c r="C128" s="43" t="s">
        <v>177</v>
      </c>
      <c r="D128" s="50"/>
      <c r="E128" s="95"/>
      <c r="F128" s="95"/>
      <c r="G128" s="95"/>
      <c r="H128" s="113"/>
      <c r="I128" s="108">
        <f t="shared" si="4"/>
        <v>0</v>
      </c>
    </row>
    <row r="129" spans="1:9" s="3" customFormat="1" ht="12.75">
      <c r="A129" s="114">
        <f t="shared" si="3"/>
        <v>73</v>
      </c>
      <c r="B129" s="42"/>
      <c r="C129" s="7" t="s">
        <v>178</v>
      </c>
      <c r="D129" s="50"/>
      <c r="E129" s="95">
        <v>1300</v>
      </c>
      <c r="F129" s="95">
        <v>1650</v>
      </c>
      <c r="G129" s="95">
        <v>2000</v>
      </c>
      <c r="H129" s="113">
        <f t="shared" si="2"/>
        <v>1.2121212121212122</v>
      </c>
      <c r="I129" s="108">
        <f t="shared" si="4"/>
        <v>3.3005172257046985E-05</v>
      </c>
    </row>
    <row r="130" spans="1:9" s="3" customFormat="1" ht="12.75">
      <c r="A130" s="114">
        <f t="shared" si="3"/>
        <v>74</v>
      </c>
      <c r="B130" s="14">
        <v>75023</v>
      </c>
      <c r="C130" s="15" t="s">
        <v>39</v>
      </c>
      <c r="D130" s="21" t="e">
        <f>#REF!+#REF!+D134</f>
        <v>#REF!</v>
      </c>
      <c r="E130" s="93">
        <f>E132+E133+E134</f>
        <v>22860</v>
      </c>
      <c r="F130" s="93">
        <f>F132+F133+F134</f>
        <v>22698</v>
      </c>
      <c r="G130" s="93">
        <f>G132+G133+G134</f>
        <v>4700</v>
      </c>
      <c r="H130" s="113">
        <f t="shared" si="2"/>
        <v>0.20706670191206275</v>
      </c>
      <c r="I130" s="108">
        <f t="shared" si="4"/>
        <v>7.756215480406043E-05</v>
      </c>
    </row>
    <row r="131" spans="1:9" ht="12.75">
      <c r="A131" s="114">
        <f t="shared" si="3"/>
        <v>75</v>
      </c>
      <c r="B131" s="42" t="s">
        <v>129</v>
      </c>
      <c r="C131" s="7" t="s">
        <v>186</v>
      </c>
      <c r="D131" s="27"/>
      <c r="E131" s="94"/>
      <c r="F131" s="94"/>
      <c r="G131" s="94"/>
      <c r="H131" s="113"/>
      <c r="I131" s="108">
        <f t="shared" si="4"/>
        <v>0</v>
      </c>
    </row>
    <row r="132" spans="1:9" ht="12.75">
      <c r="A132" s="114">
        <f t="shared" si="3"/>
        <v>76</v>
      </c>
      <c r="B132" s="42"/>
      <c r="C132" s="7" t="s">
        <v>187</v>
      </c>
      <c r="D132" s="27"/>
      <c r="E132" s="94">
        <v>60</v>
      </c>
      <c r="F132" s="94">
        <v>0</v>
      </c>
      <c r="G132" s="94">
        <v>0</v>
      </c>
      <c r="H132" s="113"/>
      <c r="I132" s="108">
        <f t="shared" si="4"/>
        <v>0</v>
      </c>
    </row>
    <row r="133" spans="1:9" ht="12.75">
      <c r="A133" s="114">
        <f t="shared" si="3"/>
        <v>77</v>
      </c>
      <c r="B133" s="42" t="s">
        <v>130</v>
      </c>
      <c r="C133" s="7" t="s">
        <v>63</v>
      </c>
      <c r="D133" s="27"/>
      <c r="E133" s="94">
        <v>100</v>
      </c>
      <c r="F133" s="94">
        <v>86</v>
      </c>
      <c r="G133" s="94">
        <v>100</v>
      </c>
      <c r="H133" s="113">
        <f t="shared" si="2"/>
        <v>1.1627906976744187</v>
      </c>
      <c r="I133" s="108">
        <f t="shared" si="4"/>
        <v>1.6502586128523495E-06</v>
      </c>
    </row>
    <row r="134" spans="1:9" ht="12.75">
      <c r="A134" s="114">
        <f t="shared" si="3"/>
        <v>78</v>
      </c>
      <c r="B134" s="42" t="s">
        <v>122</v>
      </c>
      <c r="C134" s="7" t="s">
        <v>48</v>
      </c>
      <c r="D134" s="27">
        <f>SUM(D136:D139)</f>
        <v>6910</v>
      </c>
      <c r="E134" s="94">
        <f>SUM(E136:E140)</f>
        <v>22700</v>
      </c>
      <c r="F134" s="94">
        <f>SUM(F136:F140)</f>
        <v>22612</v>
      </c>
      <c r="G134" s="94">
        <f>SUM(G136:G140)</f>
        <v>4600</v>
      </c>
      <c r="H134" s="113">
        <f t="shared" si="2"/>
        <v>0.2034318061206439</v>
      </c>
      <c r="I134" s="108">
        <f t="shared" si="4"/>
        <v>7.591189619120808E-05</v>
      </c>
    </row>
    <row r="135" spans="1:9" ht="12.75">
      <c r="A135" s="114">
        <f t="shared" si="3"/>
        <v>79</v>
      </c>
      <c r="B135" s="42"/>
      <c r="C135" s="7" t="s">
        <v>8</v>
      </c>
      <c r="D135" s="27"/>
      <c r="E135" s="94"/>
      <c r="F135" s="94"/>
      <c r="G135" s="94"/>
      <c r="H135" s="113"/>
      <c r="I135" s="108">
        <f t="shared" si="4"/>
        <v>0</v>
      </c>
    </row>
    <row r="136" spans="1:9" ht="12.75">
      <c r="A136" s="114">
        <f t="shared" si="3"/>
        <v>80</v>
      </c>
      <c r="B136" s="42"/>
      <c r="C136" s="7" t="s">
        <v>61</v>
      </c>
      <c r="D136" s="27">
        <v>710</v>
      </c>
      <c r="E136" s="94">
        <v>700</v>
      </c>
      <c r="F136" s="94">
        <v>600</v>
      </c>
      <c r="G136" s="94">
        <v>600</v>
      </c>
      <c r="H136" s="113">
        <f t="shared" si="2"/>
        <v>1</v>
      </c>
      <c r="I136" s="108">
        <f t="shared" si="4"/>
        <v>9.901551677114097E-06</v>
      </c>
    </row>
    <row r="137" spans="1:9" ht="12.75">
      <c r="A137" s="114">
        <f t="shared" si="3"/>
        <v>81</v>
      </c>
      <c r="B137" s="42"/>
      <c r="C137" s="7" t="s">
        <v>179</v>
      </c>
      <c r="D137" s="27">
        <v>1000</v>
      </c>
      <c r="E137" s="94">
        <v>0</v>
      </c>
      <c r="F137" s="94">
        <v>2323</v>
      </c>
      <c r="G137" s="94">
        <v>0</v>
      </c>
      <c r="H137" s="113">
        <f t="shared" si="2"/>
        <v>0</v>
      </c>
      <c r="I137" s="108">
        <f t="shared" si="4"/>
        <v>0</v>
      </c>
    </row>
    <row r="138" spans="1:9" ht="12.75">
      <c r="A138" s="114">
        <f t="shared" si="3"/>
        <v>82</v>
      </c>
      <c r="B138" s="42"/>
      <c r="C138" s="7" t="s">
        <v>90</v>
      </c>
      <c r="D138" s="27">
        <v>4200</v>
      </c>
      <c r="E138" s="94">
        <v>2000</v>
      </c>
      <c r="F138" s="94">
        <v>3922</v>
      </c>
      <c r="G138" s="94">
        <v>4000</v>
      </c>
      <c r="H138" s="113">
        <f t="shared" si="2"/>
        <v>1.0198878123406425</v>
      </c>
      <c r="I138" s="108">
        <f t="shared" si="4"/>
        <v>6.601034451409397E-05</v>
      </c>
    </row>
    <row r="139" spans="1:9" ht="12.75">
      <c r="A139" s="114">
        <f t="shared" si="3"/>
        <v>83</v>
      </c>
      <c r="B139" s="42"/>
      <c r="C139" s="7" t="s">
        <v>91</v>
      </c>
      <c r="D139" s="27">
        <v>1000</v>
      </c>
      <c r="E139" s="94">
        <v>0</v>
      </c>
      <c r="F139" s="94">
        <v>170</v>
      </c>
      <c r="G139" s="94">
        <v>0</v>
      </c>
      <c r="H139" s="113">
        <f t="shared" si="2"/>
        <v>0</v>
      </c>
      <c r="I139" s="108">
        <f t="shared" si="4"/>
        <v>0</v>
      </c>
    </row>
    <row r="140" spans="1:9" ht="12.75">
      <c r="A140" s="114">
        <f t="shared" si="3"/>
        <v>84</v>
      </c>
      <c r="B140" s="42"/>
      <c r="C140" s="7" t="s">
        <v>108</v>
      </c>
      <c r="D140" s="27"/>
      <c r="E140" s="94">
        <v>20000</v>
      </c>
      <c r="F140" s="94">
        <v>15597</v>
      </c>
      <c r="G140" s="94">
        <v>0</v>
      </c>
      <c r="H140" s="113">
        <f t="shared" si="2"/>
        <v>0</v>
      </c>
      <c r="I140" s="108">
        <f t="shared" si="4"/>
        <v>0</v>
      </c>
    </row>
    <row r="141" spans="1:9" s="3" customFormat="1" ht="12.75">
      <c r="A141" s="114">
        <f t="shared" si="3"/>
        <v>85</v>
      </c>
      <c r="B141" s="14">
        <v>75095</v>
      </c>
      <c r="C141" s="15" t="s">
        <v>7</v>
      </c>
      <c r="D141" s="21" t="e">
        <f>#REF!+#REF!+#REF!+D145</f>
        <v>#REF!</v>
      </c>
      <c r="E141" s="93">
        <f>SUM(E142:E146)</f>
        <v>283900</v>
      </c>
      <c r="F141" s="93">
        <f>SUM(F142:F146)</f>
        <v>304408</v>
      </c>
      <c r="G141" s="93">
        <f>SUM(G142:G146)</f>
        <v>133800</v>
      </c>
      <c r="H141" s="113">
        <f t="shared" si="2"/>
        <v>0.43954166776168824</v>
      </c>
      <c r="I141" s="108">
        <f t="shared" si="4"/>
        <v>0.0022080460239964437</v>
      </c>
    </row>
    <row r="142" spans="1:9" s="3" customFormat="1" ht="12.75">
      <c r="A142" s="114">
        <f t="shared" si="3"/>
        <v>86</v>
      </c>
      <c r="B142" s="19" t="s">
        <v>208</v>
      </c>
      <c r="C142" s="11" t="s">
        <v>207</v>
      </c>
      <c r="D142" s="31"/>
      <c r="E142" s="96">
        <v>800</v>
      </c>
      <c r="F142" s="96">
        <v>1408</v>
      </c>
      <c r="G142" s="96">
        <v>800</v>
      </c>
      <c r="H142" s="113">
        <f t="shared" si="2"/>
        <v>0.5681818181818182</v>
      </c>
      <c r="I142" s="108">
        <f t="shared" si="4"/>
        <v>1.3202068902818796E-05</v>
      </c>
    </row>
    <row r="143" spans="1:9" s="6" customFormat="1" ht="12.75">
      <c r="A143" s="114">
        <f t="shared" si="3"/>
        <v>87</v>
      </c>
      <c r="B143" s="19" t="s">
        <v>129</v>
      </c>
      <c r="C143" s="24" t="s">
        <v>199</v>
      </c>
      <c r="D143" s="31"/>
      <c r="E143" s="96">
        <v>33000</v>
      </c>
      <c r="F143" s="96">
        <v>33000</v>
      </c>
      <c r="G143" s="96">
        <v>33000</v>
      </c>
      <c r="H143" s="113">
        <f t="shared" si="2"/>
        <v>1</v>
      </c>
      <c r="I143" s="108">
        <f t="shared" si="4"/>
        <v>0.0005445853422412753</v>
      </c>
    </row>
    <row r="144" spans="1:9" ht="12.75">
      <c r="A144" s="114">
        <f t="shared" si="3"/>
        <v>88</v>
      </c>
      <c r="B144" s="42" t="s">
        <v>130</v>
      </c>
      <c r="C144" s="7" t="s">
        <v>84</v>
      </c>
      <c r="D144" s="27"/>
      <c r="E144" s="94"/>
      <c r="F144" s="94"/>
      <c r="G144" s="94"/>
      <c r="H144" s="113"/>
      <c r="I144" s="108">
        <f t="shared" si="4"/>
        <v>0</v>
      </c>
    </row>
    <row r="145" spans="1:9" ht="12.75">
      <c r="A145" s="114">
        <f t="shared" si="3"/>
        <v>89</v>
      </c>
      <c r="B145" s="7"/>
      <c r="C145" s="7" t="s">
        <v>97</v>
      </c>
      <c r="D145" s="27">
        <v>1000</v>
      </c>
      <c r="E145" s="94">
        <v>250000</v>
      </c>
      <c r="F145" s="94">
        <v>270000</v>
      </c>
      <c r="G145" s="94">
        <v>100000</v>
      </c>
      <c r="H145" s="113">
        <f t="shared" si="2"/>
        <v>0.37037037037037035</v>
      </c>
      <c r="I145" s="108">
        <f t="shared" si="4"/>
        <v>0.0016502586128523493</v>
      </c>
    </row>
    <row r="146" spans="1:9" ht="12.75">
      <c r="A146" s="114">
        <f t="shared" si="3"/>
        <v>90</v>
      </c>
      <c r="B146" s="42" t="s">
        <v>122</v>
      </c>
      <c r="C146" s="7" t="s">
        <v>48</v>
      </c>
      <c r="D146" s="27"/>
      <c r="E146" s="94">
        <v>100</v>
      </c>
      <c r="F146" s="94">
        <v>0</v>
      </c>
      <c r="G146" s="94">
        <v>0</v>
      </c>
      <c r="H146" s="113"/>
      <c r="I146" s="108">
        <f t="shared" si="4"/>
        <v>0</v>
      </c>
    </row>
    <row r="147" spans="1:9" s="4" customFormat="1" ht="15">
      <c r="A147" s="114">
        <f t="shared" si="3"/>
        <v>91</v>
      </c>
      <c r="B147" s="12">
        <v>751</v>
      </c>
      <c r="C147" s="33" t="s">
        <v>43</v>
      </c>
      <c r="D147" s="20"/>
      <c r="E147" s="89"/>
      <c r="F147" s="89"/>
      <c r="G147" s="89"/>
      <c r="H147" s="113"/>
      <c r="I147" s="108">
        <f t="shared" si="4"/>
        <v>0</v>
      </c>
    </row>
    <row r="148" spans="1:9" s="4" customFormat="1" ht="15">
      <c r="A148" s="114">
        <f t="shared" si="3"/>
        <v>92</v>
      </c>
      <c r="B148" s="12"/>
      <c r="C148" s="33" t="s">
        <v>44</v>
      </c>
      <c r="D148" s="20"/>
      <c r="E148" s="89"/>
      <c r="F148" s="89"/>
      <c r="G148" s="89"/>
      <c r="H148" s="113"/>
      <c r="I148" s="108">
        <f t="shared" si="4"/>
        <v>0</v>
      </c>
    </row>
    <row r="149" spans="1:9" s="4" customFormat="1" ht="15">
      <c r="A149" s="114">
        <f t="shared" si="3"/>
        <v>93</v>
      </c>
      <c r="B149" s="12"/>
      <c r="C149" s="33" t="s">
        <v>45</v>
      </c>
      <c r="D149" s="20" t="e">
        <f>D151+#REF!+#REF!+#REF!</f>
        <v>#REF!</v>
      </c>
      <c r="E149" s="89">
        <f>E151+E156</f>
        <v>10124</v>
      </c>
      <c r="F149" s="89">
        <f>F151+F156</f>
        <v>10124</v>
      </c>
      <c r="G149" s="89">
        <f>G151+G156</f>
        <v>1140</v>
      </c>
      <c r="H149" s="113">
        <f t="shared" si="2"/>
        <v>0.1126037139470565</v>
      </c>
      <c r="I149" s="108">
        <f t="shared" si="4"/>
        <v>1.8812948186516782E-05</v>
      </c>
    </row>
    <row r="150" spans="1:9" s="3" customFormat="1" ht="12.75">
      <c r="A150" s="114">
        <f t="shared" si="3"/>
        <v>94</v>
      </c>
      <c r="B150" s="14">
        <v>75101</v>
      </c>
      <c r="C150" s="15" t="s">
        <v>46</v>
      </c>
      <c r="D150" s="21"/>
      <c r="E150" s="93"/>
      <c r="F150" s="93"/>
      <c r="G150" s="93"/>
      <c r="H150" s="113"/>
      <c r="I150" s="108">
        <f t="shared" si="4"/>
        <v>0</v>
      </c>
    </row>
    <row r="151" spans="1:9" s="3" customFormat="1" ht="12.75">
      <c r="A151" s="114">
        <f t="shared" si="3"/>
        <v>95</v>
      </c>
      <c r="B151" s="14"/>
      <c r="C151" s="15" t="s">
        <v>47</v>
      </c>
      <c r="D151" s="21">
        <f>D155</f>
        <v>1020</v>
      </c>
      <c r="E151" s="93">
        <f>E155</f>
        <v>1104</v>
      </c>
      <c r="F151" s="93">
        <f>F155</f>
        <v>1104</v>
      </c>
      <c r="G151" s="93">
        <f>G155</f>
        <v>1140</v>
      </c>
      <c r="H151" s="113">
        <f t="shared" si="2"/>
        <v>1.0326086956521738</v>
      </c>
      <c r="I151" s="108">
        <f t="shared" si="4"/>
        <v>1.8812948186516782E-05</v>
      </c>
    </row>
    <row r="152" spans="1:9" ht="12.75">
      <c r="A152" s="114">
        <f t="shared" si="3"/>
        <v>96</v>
      </c>
      <c r="B152" s="42">
        <v>2010</v>
      </c>
      <c r="C152" s="7" t="s">
        <v>71</v>
      </c>
      <c r="D152" s="27"/>
      <c r="E152" s="94"/>
      <c r="F152" s="94"/>
      <c r="G152" s="94"/>
      <c r="H152" s="113"/>
      <c r="I152" s="108">
        <f t="shared" si="4"/>
        <v>0</v>
      </c>
    </row>
    <row r="153" spans="1:9" ht="12.75">
      <c r="A153" s="114">
        <f t="shared" si="3"/>
        <v>97</v>
      </c>
      <c r="B153" s="42"/>
      <c r="C153" s="7" t="s">
        <v>278</v>
      </c>
      <c r="D153" s="27"/>
      <c r="E153" s="94"/>
      <c r="F153" s="94"/>
      <c r="G153" s="94"/>
      <c r="H153" s="113"/>
      <c r="I153" s="108">
        <f t="shared" si="4"/>
        <v>0</v>
      </c>
    </row>
    <row r="154" spans="1:9" ht="12.75">
      <c r="A154" s="114">
        <f t="shared" si="3"/>
        <v>98</v>
      </c>
      <c r="B154" s="42"/>
      <c r="C154" s="7" t="s">
        <v>78</v>
      </c>
      <c r="D154" s="27"/>
      <c r="E154" s="94"/>
      <c r="F154" s="94"/>
      <c r="G154" s="94"/>
      <c r="H154" s="113"/>
      <c r="I154" s="108">
        <f t="shared" si="4"/>
        <v>0</v>
      </c>
    </row>
    <row r="155" spans="1:9" ht="12.75">
      <c r="A155" s="114">
        <f t="shared" si="3"/>
        <v>99</v>
      </c>
      <c r="B155" s="42"/>
      <c r="C155" s="7" t="s">
        <v>72</v>
      </c>
      <c r="D155" s="27">
        <v>1020</v>
      </c>
      <c r="E155" s="94">
        <v>1104</v>
      </c>
      <c r="F155" s="94">
        <v>1104</v>
      </c>
      <c r="G155" s="94">
        <v>1140</v>
      </c>
      <c r="H155" s="113">
        <f t="shared" si="2"/>
        <v>1.0326086956521738</v>
      </c>
      <c r="I155" s="108">
        <f t="shared" si="4"/>
        <v>1.8812948186516782E-05</v>
      </c>
    </row>
    <row r="156" spans="1:9" s="40" customFormat="1" ht="12.75">
      <c r="A156" s="114">
        <f t="shared" si="3"/>
        <v>100</v>
      </c>
      <c r="B156" s="41">
        <v>75108</v>
      </c>
      <c r="C156" s="53" t="s">
        <v>266</v>
      </c>
      <c r="D156" s="39"/>
      <c r="E156" s="90">
        <f>E160</f>
        <v>9020</v>
      </c>
      <c r="F156" s="90">
        <f>F160</f>
        <v>9020</v>
      </c>
      <c r="G156" s="90">
        <f>G160</f>
        <v>0</v>
      </c>
      <c r="H156" s="113">
        <f t="shared" si="2"/>
        <v>0</v>
      </c>
      <c r="I156" s="108">
        <f t="shared" si="4"/>
        <v>0</v>
      </c>
    </row>
    <row r="157" spans="1:9" ht="12.75">
      <c r="A157" s="114">
        <f t="shared" si="3"/>
        <v>101</v>
      </c>
      <c r="B157" s="42">
        <v>2010</v>
      </c>
      <c r="C157" s="7" t="s">
        <v>71</v>
      </c>
      <c r="D157" s="27"/>
      <c r="E157" s="94"/>
      <c r="F157" s="94"/>
      <c r="G157" s="94"/>
      <c r="H157" s="113"/>
      <c r="I157" s="108">
        <f t="shared" si="4"/>
        <v>0</v>
      </c>
    </row>
    <row r="158" spans="1:9" ht="12.75">
      <c r="A158" s="114">
        <f t="shared" si="3"/>
        <v>102</v>
      </c>
      <c r="B158" s="42"/>
      <c r="C158" s="7" t="s">
        <v>279</v>
      </c>
      <c r="D158" s="27"/>
      <c r="E158" s="94"/>
      <c r="F158" s="94"/>
      <c r="G158" s="94"/>
      <c r="H158" s="113"/>
      <c r="I158" s="108">
        <f t="shared" si="4"/>
        <v>0</v>
      </c>
    </row>
    <row r="159" spans="1:9" ht="12.75">
      <c r="A159" s="114">
        <f t="shared" si="3"/>
        <v>103</v>
      </c>
      <c r="B159" s="42"/>
      <c r="C159" s="7" t="s">
        <v>78</v>
      </c>
      <c r="D159" s="27"/>
      <c r="E159" s="94"/>
      <c r="F159" s="94"/>
      <c r="G159" s="94"/>
      <c r="H159" s="113"/>
      <c r="I159" s="108">
        <f t="shared" si="4"/>
        <v>0</v>
      </c>
    </row>
    <row r="160" spans="1:9" ht="12.75">
      <c r="A160" s="114">
        <f t="shared" si="3"/>
        <v>104</v>
      </c>
      <c r="B160" s="42"/>
      <c r="C160" s="7" t="s">
        <v>72</v>
      </c>
      <c r="D160" s="27"/>
      <c r="E160" s="94">
        <v>9020</v>
      </c>
      <c r="F160" s="94">
        <v>9020</v>
      </c>
      <c r="G160" s="94">
        <v>0</v>
      </c>
      <c r="H160" s="113">
        <f t="shared" si="2"/>
        <v>0</v>
      </c>
      <c r="I160" s="108">
        <f t="shared" si="4"/>
        <v>0</v>
      </c>
    </row>
    <row r="161" spans="1:9" ht="12.75">
      <c r="A161" s="114"/>
      <c r="B161" s="42"/>
      <c r="C161" s="7"/>
      <c r="D161" s="27"/>
      <c r="E161" s="94"/>
      <c r="F161" s="94"/>
      <c r="G161" s="94"/>
      <c r="H161" s="113"/>
      <c r="I161" s="108"/>
    </row>
    <row r="162" spans="1:9" ht="12.75">
      <c r="A162" s="114"/>
      <c r="B162" s="42"/>
      <c r="C162" s="7"/>
      <c r="D162" s="27"/>
      <c r="E162" s="94"/>
      <c r="F162" s="94"/>
      <c r="G162" s="94"/>
      <c r="H162" s="113"/>
      <c r="I162" s="108"/>
    </row>
    <row r="163" spans="1:9" s="4" customFormat="1" ht="15">
      <c r="A163" s="114">
        <f>A160+1</f>
        <v>105</v>
      </c>
      <c r="B163" s="12">
        <v>754</v>
      </c>
      <c r="C163" s="10" t="s">
        <v>4</v>
      </c>
      <c r="D163" s="20"/>
      <c r="E163" s="89"/>
      <c r="F163" s="89"/>
      <c r="G163" s="89"/>
      <c r="H163" s="113"/>
      <c r="I163" s="108">
        <f t="shared" si="4"/>
        <v>0</v>
      </c>
    </row>
    <row r="164" spans="1:9" s="4" customFormat="1" ht="15">
      <c r="A164" s="114">
        <f t="shared" si="3"/>
        <v>106</v>
      </c>
      <c r="B164" s="12"/>
      <c r="C164" s="10" t="s">
        <v>40</v>
      </c>
      <c r="D164" s="20" t="e">
        <f>#REF!+D165</f>
        <v>#REF!</v>
      </c>
      <c r="E164" s="89">
        <f>E165</f>
        <v>20000</v>
      </c>
      <c r="F164" s="89">
        <f>F165</f>
        <v>30000</v>
      </c>
      <c r="G164" s="89">
        <f>G165</f>
        <v>30000</v>
      </c>
      <c r="H164" s="113">
        <f t="shared" si="2"/>
        <v>1</v>
      </c>
      <c r="I164" s="108">
        <f t="shared" si="4"/>
        <v>0.0004950775838557048</v>
      </c>
    </row>
    <row r="165" spans="1:9" s="40" customFormat="1" ht="12.75">
      <c r="A165" s="114">
        <f t="shared" si="3"/>
        <v>107</v>
      </c>
      <c r="B165" s="41">
        <v>75416</v>
      </c>
      <c r="C165" s="38" t="s">
        <v>86</v>
      </c>
      <c r="D165" s="39">
        <f>D167</f>
        <v>16000</v>
      </c>
      <c r="E165" s="90">
        <f>E167</f>
        <v>20000</v>
      </c>
      <c r="F165" s="90">
        <f>F167</f>
        <v>30000</v>
      </c>
      <c r="G165" s="90">
        <f>G167</f>
        <v>30000</v>
      </c>
      <c r="H165" s="113">
        <f t="shared" si="2"/>
        <v>1</v>
      </c>
      <c r="I165" s="108">
        <f t="shared" si="4"/>
        <v>0.0004950775838557048</v>
      </c>
    </row>
    <row r="166" spans="1:9" ht="12.75">
      <c r="A166" s="114">
        <f t="shared" si="3"/>
        <v>108</v>
      </c>
      <c r="B166" s="42" t="s">
        <v>131</v>
      </c>
      <c r="C166" s="7" t="s">
        <v>87</v>
      </c>
      <c r="D166" s="27"/>
      <c r="E166" s="94"/>
      <c r="F166" s="94"/>
      <c r="G166" s="94"/>
      <c r="H166" s="113"/>
      <c r="I166" s="108">
        <f t="shared" si="4"/>
        <v>0</v>
      </c>
    </row>
    <row r="167" spans="1:9" ht="12.75">
      <c r="A167" s="114">
        <f t="shared" si="3"/>
        <v>109</v>
      </c>
      <c r="B167" s="42"/>
      <c r="C167" s="7" t="s">
        <v>62</v>
      </c>
      <c r="D167" s="27">
        <v>16000</v>
      </c>
      <c r="E167" s="94">
        <v>20000</v>
      </c>
      <c r="F167" s="94">
        <v>30000</v>
      </c>
      <c r="G167" s="94">
        <v>30000</v>
      </c>
      <c r="H167" s="113">
        <f t="shared" si="2"/>
        <v>1</v>
      </c>
      <c r="I167" s="108">
        <f t="shared" si="4"/>
        <v>0.0004950775838557048</v>
      </c>
    </row>
    <row r="168" spans="1:9" ht="12.75">
      <c r="A168" s="114">
        <f t="shared" si="3"/>
        <v>110</v>
      </c>
      <c r="B168" s="42"/>
      <c r="C168" s="7"/>
      <c r="D168" s="27"/>
      <c r="E168" s="94"/>
      <c r="F168" s="94"/>
      <c r="G168" s="94"/>
      <c r="H168" s="113"/>
      <c r="I168" s="108">
        <f t="shared" si="4"/>
        <v>0</v>
      </c>
    </row>
    <row r="169" spans="1:9" s="4" customFormat="1" ht="15">
      <c r="A169" s="114">
        <f t="shared" si="3"/>
        <v>111</v>
      </c>
      <c r="B169" s="12">
        <v>756</v>
      </c>
      <c r="C169" s="13" t="s">
        <v>14</v>
      </c>
      <c r="D169" s="20"/>
      <c r="E169" s="89"/>
      <c r="F169" s="89"/>
      <c r="G169" s="89"/>
      <c r="H169" s="113"/>
      <c r="I169" s="108">
        <f t="shared" si="4"/>
        <v>0</v>
      </c>
    </row>
    <row r="170" spans="1:9" s="4" customFormat="1" ht="15">
      <c r="A170" s="114">
        <f t="shared" si="3"/>
        <v>112</v>
      </c>
      <c r="B170" s="12"/>
      <c r="C170" s="13" t="s">
        <v>15</v>
      </c>
      <c r="D170" s="20" t="e">
        <f>D172+D180++#REF!+D213+D223</f>
        <v>#REF!</v>
      </c>
      <c r="E170" s="89">
        <f>E172+E180+E197+E214+E223</f>
        <v>9969032</v>
      </c>
      <c r="F170" s="89">
        <f>F172+F180+F197+F214+F223</f>
        <v>11020186.57</v>
      </c>
      <c r="G170" s="89">
        <f>G172+G180+G197+G214+G223</f>
        <v>10809610</v>
      </c>
      <c r="H170" s="113">
        <f t="shared" si="2"/>
        <v>0.9808917418355467</v>
      </c>
      <c r="I170" s="108">
        <f t="shared" si="4"/>
        <v>0.17838652004074884</v>
      </c>
    </row>
    <row r="171" spans="1:9" s="3" customFormat="1" ht="12.75">
      <c r="A171" s="114">
        <f t="shared" si="3"/>
        <v>113</v>
      </c>
      <c r="B171" s="14">
        <v>75601</v>
      </c>
      <c r="C171" s="23" t="s">
        <v>37</v>
      </c>
      <c r="D171" s="21"/>
      <c r="E171" s="93"/>
      <c r="F171" s="93"/>
      <c r="G171" s="93"/>
      <c r="H171" s="113"/>
      <c r="I171" s="108">
        <f t="shared" si="4"/>
        <v>0</v>
      </c>
    </row>
    <row r="172" spans="1:9" s="3" customFormat="1" ht="12.75">
      <c r="A172" s="114">
        <f t="shared" si="3"/>
        <v>114</v>
      </c>
      <c r="B172" s="14"/>
      <c r="C172" s="23" t="s">
        <v>36</v>
      </c>
      <c r="D172" s="21">
        <f>SUM(D175:D176)</f>
        <v>140000</v>
      </c>
      <c r="E172" s="93">
        <f>SUM(E175:E176)</f>
        <v>138700</v>
      </c>
      <c r="F172" s="93">
        <f>SUM(F175:F176)</f>
        <v>135344.69999999998</v>
      </c>
      <c r="G172" s="93">
        <f>SUM(G175:G176)</f>
        <v>138300</v>
      </c>
      <c r="H172" s="113">
        <f t="shared" si="2"/>
        <v>1.0218353581632678</v>
      </c>
      <c r="I172" s="108">
        <f t="shared" si="4"/>
        <v>0.002282307661574799</v>
      </c>
    </row>
    <row r="173" spans="1:9" s="3" customFormat="1" ht="12.75">
      <c r="A173" s="114">
        <f t="shared" si="3"/>
        <v>115</v>
      </c>
      <c r="B173" s="42" t="s">
        <v>132</v>
      </c>
      <c r="C173" s="7" t="s">
        <v>64</v>
      </c>
      <c r="D173" s="21"/>
      <c r="E173" s="93"/>
      <c r="F173" s="93"/>
      <c r="G173" s="93"/>
      <c r="H173" s="113"/>
      <c r="I173" s="108">
        <f t="shared" si="4"/>
        <v>0</v>
      </c>
    </row>
    <row r="174" spans="1:9" s="3" customFormat="1" ht="12.75">
      <c r="A174" s="114">
        <f t="shared" si="3"/>
        <v>116</v>
      </c>
      <c r="B174" s="42"/>
      <c r="C174" s="7" t="s">
        <v>81</v>
      </c>
      <c r="D174" s="21"/>
      <c r="E174" s="93"/>
      <c r="F174" s="93"/>
      <c r="G174" s="93"/>
      <c r="H174" s="113"/>
      <c r="I174" s="108">
        <f t="shared" si="4"/>
        <v>0</v>
      </c>
    </row>
    <row r="175" spans="1:9" s="3" customFormat="1" ht="12.75">
      <c r="A175" s="114">
        <f t="shared" si="3"/>
        <v>117</v>
      </c>
      <c r="B175" s="42"/>
      <c r="C175" s="7" t="s">
        <v>65</v>
      </c>
      <c r="D175" s="50">
        <v>138000</v>
      </c>
      <c r="E175" s="95">
        <v>138000</v>
      </c>
      <c r="F175" s="95">
        <v>135115.18</v>
      </c>
      <c r="G175" s="95">
        <v>138000</v>
      </c>
      <c r="H175" s="113">
        <f t="shared" si="2"/>
        <v>1.0213508208330109</v>
      </c>
      <c r="I175" s="108">
        <f t="shared" si="4"/>
        <v>0.002277356885736242</v>
      </c>
    </row>
    <row r="176" spans="1:9" s="3" customFormat="1" ht="12.75">
      <c r="A176" s="114">
        <f t="shared" si="3"/>
        <v>118</v>
      </c>
      <c r="B176" s="42" t="s">
        <v>124</v>
      </c>
      <c r="C176" s="7" t="s">
        <v>92</v>
      </c>
      <c r="D176" s="50">
        <v>2000</v>
      </c>
      <c r="E176" s="95">
        <v>700</v>
      </c>
      <c r="F176" s="95">
        <v>229.52</v>
      </c>
      <c r="G176" s="95">
        <v>300</v>
      </c>
      <c r="H176" s="113">
        <f aca="true" t="shared" si="5" ref="H176:H233">G176/F176</f>
        <v>1.3070756361101428</v>
      </c>
      <c r="I176" s="108">
        <f t="shared" si="4"/>
        <v>4.950775838557049E-06</v>
      </c>
    </row>
    <row r="177" spans="1:9" s="3" customFormat="1" ht="12.75">
      <c r="A177" s="114">
        <f t="shared" si="3"/>
        <v>119</v>
      </c>
      <c r="B177" s="14">
        <v>75615</v>
      </c>
      <c r="C177" s="23" t="s">
        <v>38</v>
      </c>
      <c r="D177" s="21"/>
      <c r="E177" s="93"/>
      <c r="F177" s="93"/>
      <c r="G177" s="93"/>
      <c r="H177" s="113"/>
      <c r="I177" s="108">
        <f t="shared" si="4"/>
        <v>0</v>
      </c>
    </row>
    <row r="178" spans="1:9" s="3" customFormat="1" ht="12.75">
      <c r="A178" s="114">
        <f t="shared" si="3"/>
        <v>120</v>
      </c>
      <c r="B178" s="14"/>
      <c r="C178" s="23" t="s">
        <v>162</v>
      </c>
      <c r="D178" s="21"/>
      <c r="E178" s="93"/>
      <c r="F178" s="93"/>
      <c r="G178" s="93"/>
      <c r="H178" s="113"/>
      <c r="I178" s="108">
        <f t="shared" si="4"/>
        <v>0</v>
      </c>
    </row>
    <row r="179" spans="1:9" s="3" customFormat="1" ht="12.75">
      <c r="A179" s="114">
        <f t="shared" si="3"/>
        <v>121</v>
      </c>
      <c r="B179" s="14"/>
      <c r="C179" s="23" t="s">
        <v>163</v>
      </c>
      <c r="D179" s="21"/>
      <c r="E179" s="93"/>
      <c r="F179" s="93"/>
      <c r="G179" s="93"/>
      <c r="H179" s="113"/>
      <c r="I179" s="108">
        <f t="shared" si="4"/>
        <v>0</v>
      </c>
    </row>
    <row r="180" spans="1:9" s="3" customFormat="1" ht="12.75">
      <c r="A180" s="114">
        <f t="shared" si="3"/>
        <v>122</v>
      </c>
      <c r="B180" s="14"/>
      <c r="C180" s="53" t="s">
        <v>180</v>
      </c>
      <c r="D180" s="21">
        <f>D181+D182+D183+D184+D185+D186+D191</f>
        <v>3568940</v>
      </c>
      <c r="E180" s="93">
        <f>E181+E182+E183+E184+E185+E186+E191+E192</f>
        <v>4026715</v>
      </c>
      <c r="F180" s="93">
        <f>F181+F182+F183+F184+F185+F186+F191+F192</f>
        <v>3976102</v>
      </c>
      <c r="G180" s="93">
        <f>G181+G182+G183+G184+G185+G186+G191+G192</f>
        <v>4138360</v>
      </c>
      <c r="H180" s="113">
        <f t="shared" si="5"/>
        <v>1.0408083092435758</v>
      </c>
      <c r="I180" s="108">
        <f t="shared" si="4"/>
        <v>0.06829364233083648</v>
      </c>
    </row>
    <row r="181" spans="1:9" ht="12.75">
      <c r="A181" s="114">
        <f t="shared" si="3"/>
        <v>123</v>
      </c>
      <c r="B181" s="42" t="s">
        <v>133</v>
      </c>
      <c r="C181" s="7" t="s">
        <v>18</v>
      </c>
      <c r="D181" s="27">
        <f>3121000+198500</f>
        <v>3319500</v>
      </c>
      <c r="E181" s="94">
        <v>3722411</v>
      </c>
      <c r="F181" s="94">
        <v>3660000</v>
      </c>
      <c r="G181" s="94">
        <f>3916200+70860</f>
        <v>3987060</v>
      </c>
      <c r="H181" s="113">
        <f t="shared" si="5"/>
        <v>1.089360655737705</v>
      </c>
      <c r="I181" s="108">
        <f t="shared" si="4"/>
        <v>0.06579680104959088</v>
      </c>
    </row>
    <row r="182" spans="1:9" ht="12.75">
      <c r="A182" s="114">
        <f t="shared" si="3"/>
        <v>124</v>
      </c>
      <c r="B182" s="42" t="s">
        <v>134</v>
      </c>
      <c r="C182" s="7" t="s">
        <v>16</v>
      </c>
      <c r="D182" s="27">
        <v>500</v>
      </c>
      <c r="E182" s="94">
        <v>500</v>
      </c>
      <c r="F182" s="94">
        <v>184</v>
      </c>
      <c r="G182" s="94">
        <v>200</v>
      </c>
      <c r="H182" s="113">
        <f t="shared" si="5"/>
        <v>1.0869565217391304</v>
      </c>
      <c r="I182" s="108">
        <f t="shared" si="4"/>
        <v>3.300517225704699E-06</v>
      </c>
    </row>
    <row r="183" spans="1:9" ht="12.75">
      <c r="A183" s="114">
        <f t="shared" si="3"/>
        <v>125</v>
      </c>
      <c r="B183" s="42" t="s">
        <v>135</v>
      </c>
      <c r="C183" s="7" t="s">
        <v>17</v>
      </c>
      <c r="D183" s="27">
        <v>51940</v>
      </c>
      <c r="E183" s="94">
        <v>58000</v>
      </c>
      <c r="F183" s="94">
        <v>69000</v>
      </c>
      <c r="G183" s="94">
        <v>74000</v>
      </c>
      <c r="H183" s="113">
        <f t="shared" si="5"/>
        <v>1.0724637681159421</v>
      </c>
      <c r="I183" s="108">
        <f t="shared" si="4"/>
        <v>0.0012211913735107386</v>
      </c>
    </row>
    <row r="184" spans="1:9" ht="12.75">
      <c r="A184" s="114">
        <f t="shared" si="3"/>
        <v>126</v>
      </c>
      <c r="B184" s="42" t="s">
        <v>136</v>
      </c>
      <c r="C184" s="7" t="s">
        <v>19</v>
      </c>
      <c r="D184" s="27">
        <v>14000</v>
      </c>
      <c r="E184" s="94">
        <v>9000</v>
      </c>
      <c r="F184" s="94">
        <v>9000</v>
      </c>
      <c r="G184" s="94">
        <v>9000</v>
      </c>
      <c r="H184" s="113">
        <f t="shared" si="5"/>
        <v>1</v>
      </c>
      <c r="I184" s="108">
        <f t="shared" si="4"/>
        <v>0.00014852327515671145</v>
      </c>
    </row>
    <row r="185" spans="1:9" ht="12.75">
      <c r="A185" s="114">
        <f t="shared" si="3"/>
        <v>127</v>
      </c>
      <c r="B185" s="42" t="s">
        <v>140</v>
      </c>
      <c r="C185" s="7" t="s">
        <v>93</v>
      </c>
      <c r="D185" s="27">
        <v>15000</v>
      </c>
      <c r="E185" s="94">
        <v>10000</v>
      </c>
      <c r="F185" s="94">
        <v>52051</v>
      </c>
      <c r="G185" s="94">
        <v>52000</v>
      </c>
      <c r="H185" s="113">
        <f t="shared" si="5"/>
        <v>0.9990201917350291</v>
      </c>
      <c r="I185" s="108">
        <f t="shared" si="4"/>
        <v>0.0008581344786832217</v>
      </c>
    </row>
    <row r="186" spans="1:9" ht="12.75">
      <c r="A186" s="114">
        <f t="shared" si="3"/>
        <v>128</v>
      </c>
      <c r="B186" s="42" t="s">
        <v>119</v>
      </c>
      <c r="C186" s="7" t="s">
        <v>52</v>
      </c>
      <c r="D186" s="27">
        <f>SUM(D188)</f>
        <v>18000</v>
      </c>
      <c r="E186" s="94">
        <f>SUM(E188:E189)</f>
        <v>6300</v>
      </c>
      <c r="F186" s="94">
        <f>SUM(F188:F189)</f>
        <v>5363</v>
      </c>
      <c r="G186" s="94">
        <f>SUM(G188:G189)</f>
        <v>6100</v>
      </c>
      <c r="H186" s="113">
        <f t="shared" si="5"/>
        <v>1.137423084094723</v>
      </c>
      <c r="I186" s="108">
        <f t="shared" si="4"/>
        <v>0.00010066577538399331</v>
      </c>
    </row>
    <row r="187" spans="1:9" ht="12.75">
      <c r="A187" s="114">
        <f t="shared" si="3"/>
        <v>129</v>
      </c>
      <c r="B187" s="42"/>
      <c r="C187" s="7" t="s">
        <v>8</v>
      </c>
      <c r="D187" s="27"/>
      <c r="E187" s="94"/>
      <c r="F187" s="94"/>
      <c r="G187" s="94"/>
      <c r="H187" s="113"/>
      <c r="I187" s="108">
        <f t="shared" si="4"/>
        <v>0</v>
      </c>
    </row>
    <row r="188" spans="1:9" ht="12.75">
      <c r="A188" s="114">
        <f aca="true" t="shared" si="6" ref="A188:A251">A187+1</f>
        <v>130</v>
      </c>
      <c r="B188" s="42"/>
      <c r="C188" s="7" t="s">
        <v>20</v>
      </c>
      <c r="D188" s="27">
        <v>18000</v>
      </c>
      <c r="E188" s="94">
        <v>6000</v>
      </c>
      <c r="F188" s="94">
        <v>5263</v>
      </c>
      <c r="G188" s="94">
        <v>6000</v>
      </c>
      <c r="H188" s="113">
        <f t="shared" si="5"/>
        <v>1.1400342010260307</v>
      </c>
      <c r="I188" s="108">
        <f t="shared" si="4"/>
        <v>9.901551677114096E-05</v>
      </c>
    </row>
    <row r="189" spans="1:9" ht="12.75">
      <c r="A189" s="114">
        <f t="shared" si="6"/>
        <v>131</v>
      </c>
      <c r="B189" s="42"/>
      <c r="C189" s="7" t="s">
        <v>96</v>
      </c>
      <c r="D189" s="27"/>
      <c r="E189" s="94">
        <v>300</v>
      </c>
      <c r="F189" s="94">
        <v>100</v>
      </c>
      <c r="G189" s="94">
        <v>100</v>
      </c>
      <c r="H189" s="113">
        <f t="shared" si="5"/>
        <v>1</v>
      </c>
      <c r="I189" s="108">
        <f t="shared" si="4"/>
        <v>1.6502586128523495E-06</v>
      </c>
    </row>
    <row r="190" spans="1:9" ht="12.75">
      <c r="A190" s="114">
        <f t="shared" si="6"/>
        <v>132</v>
      </c>
      <c r="B190" s="42" t="s">
        <v>124</v>
      </c>
      <c r="C190" s="7" t="s">
        <v>59</v>
      </c>
      <c r="D190" s="27"/>
      <c r="E190" s="94"/>
      <c r="F190" s="94"/>
      <c r="G190" s="94"/>
      <c r="H190" s="113"/>
      <c r="I190" s="108">
        <f t="shared" si="4"/>
        <v>0</v>
      </c>
    </row>
    <row r="191" spans="1:9" ht="12.75">
      <c r="A191" s="114">
        <f t="shared" si="6"/>
        <v>133</v>
      </c>
      <c r="B191" s="7"/>
      <c r="C191" s="7" t="s">
        <v>50</v>
      </c>
      <c r="D191" s="27">
        <f>50000+100000</f>
        <v>150000</v>
      </c>
      <c r="E191" s="94">
        <v>50000</v>
      </c>
      <c r="F191" s="94">
        <v>10000</v>
      </c>
      <c r="G191" s="94">
        <v>10000</v>
      </c>
      <c r="H191" s="113">
        <f t="shared" si="5"/>
        <v>1</v>
      </c>
      <c r="I191" s="108">
        <f t="shared" si="4"/>
        <v>0.00016502586128523493</v>
      </c>
    </row>
    <row r="192" spans="1:9" ht="12.75">
      <c r="A192" s="114">
        <f t="shared" si="6"/>
        <v>134</v>
      </c>
      <c r="B192" s="7">
        <v>2680</v>
      </c>
      <c r="C192" s="7" t="s">
        <v>200</v>
      </c>
      <c r="D192" s="27"/>
      <c r="E192" s="94">
        <v>170504</v>
      </c>
      <c r="F192" s="94">
        <v>170504</v>
      </c>
      <c r="G192" s="94">
        <v>0</v>
      </c>
      <c r="H192" s="113">
        <f t="shared" si="5"/>
        <v>0</v>
      </c>
      <c r="I192" s="108">
        <f aca="true" t="shared" si="7" ref="I192:I255">G192/$G$433</f>
        <v>0</v>
      </c>
    </row>
    <row r="193" spans="1:9" ht="12.75">
      <c r="A193" s="114">
        <f t="shared" si="6"/>
        <v>135</v>
      </c>
      <c r="B193" s="14">
        <v>75616</v>
      </c>
      <c r="C193" s="23" t="s">
        <v>164</v>
      </c>
      <c r="D193" s="27"/>
      <c r="E193" s="94"/>
      <c r="F193" s="94"/>
      <c r="G193" s="94"/>
      <c r="H193" s="113"/>
      <c r="I193" s="108">
        <f t="shared" si="7"/>
        <v>0</v>
      </c>
    </row>
    <row r="194" spans="1:9" ht="12.75">
      <c r="A194" s="114">
        <f t="shared" si="6"/>
        <v>136</v>
      </c>
      <c r="B194" s="14"/>
      <c r="C194" s="23" t="s">
        <v>165</v>
      </c>
      <c r="D194" s="27"/>
      <c r="E194" s="94"/>
      <c r="F194" s="94"/>
      <c r="G194" s="94"/>
      <c r="H194" s="113"/>
      <c r="I194" s="108">
        <f t="shared" si="7"/>
        <v>0</v>
      </c>
    </row>
    <row r="195" spans="1:9" ht="12.75">
      <c r="A195" s="114">
        <f t="shared" si="6"/>
        <v>137</v>
      </c>
      <c r="B195" s="14"/>
      <c r="C195" s="23" t="s">
        <v>166</v>
      </c>
      <c r="D195" s="27"/>
      <c r="E195" s="94"/>
      <c r="F195" s="94"/>
      <c r="G195" s="94"/>
      <c r="H195" s="113"/>
      <c r="I195" s="108">
        <f t="shared" si="7"/>
        <v>0</v>
      </c>
    </row>
    <row r="196" spans="1:9" ht="12.75">
      <c r="A196" s="114">
        <f t="shared" si="6"/>
        <v>138</v>
      </c>
      <c r="B196" s="14"/>
      <c r="C196" s="23" t="s">
        <v>167</v>
      </c>
      <c r="D196" s="27"/>
      <c r="E196" s="94"/>
      <c r="F196" s="94"/>
      <c r="G196" s="94"/>
      <c r="H196" s="113"/>
      <c r="I196" s="108">
        <f t="shared" si="7"/>
        <v>0</v>
      </c>
    </row>
    <row r="197" spans="1:9" ht="12.75">
      <c r="A197" s="114">
        <f t="shared" si="6"/>
        <v>139</v>
      </c>
      <c r="B197" s="14"/>
      <c r="C197" s="23" t="s">
        <v>181</v>
      </c>
      <c r="D197" s="27"/>
      <c r="E197" s="90">
        <f>E198+E199+E200+E201+E202+E204+E205+E206+E207+E211+E212</f>
        <v>2546673</v>
      </c>
      <c r="F197" s="90">
        <f>F198+F199+F200+F201+F202+F204+F205+F206+F207+F211+F212</f>
        <v>3395003.87</v>
      </c>
      <c r="G197" s="90">
        <f>G198+G199+G200+G201+G202+G204+G205+G206+G207+G211+G212+G203</f>
        <v>2772220</v>
      </c>
      <c r="H197" s="113">
        <f t="shared" si="5"/>
        <v>0.8165587157342474</v>
      </c>
      <c r="I197" s="108">
        <f t="shared" si="7"/>
        <v>0.0457487993172154</v>
      </c>
    </row>
    <row r="198" spans="1:9" ht="12.75">
      <c r="A198" s="114">
        <f t="shared" si="6"/>
        <v>140</v>
      </c>
      <c r="B198" s="42" t="s">
        <v>133</v>
      </c>
      <c r="C198" s="7" t="s">
        <v>18</v>
      </c>
      <c r="D198" s="27"/>
      <c r="E198" s="94">
        <v>1338000</v>
      </c>
      <c r="F198" s="94">
        <v>1419000</v>
      </c>
      <c r="G198" s="94">
        <f>F198*1.07</f>
        <v>1518330</v>
      </c>
      <c r="H198" s="113">
        <f t="shared" si="5"/>
        <v>1.07</v>
      </c>
      <c r="I198" s="108">
        <f t="shared" si="7"/>
        <v>0.025056371596521076</v>
      </c>
    </row>
    <row r="199" spans="1:9" ht="12.75">
      <c r="A199" s="114">
        <f t="shared" si="6"/>
        <v>141</v>
      </c>
      <c r="B199" s="42" t="s">
        <v>134</v>
      </c>
      <c r="C199" s="7" t="s">
        <v>16</v>
      </c>
      <c r="D199" s="27"/>
      <c r="E199" s="94">
        <v>4400</v>
      </c>
      <c r="F199" s="94">
        <v>7000</v>
      </c>
      <c r="G199" s="94">
        <f>F199*1.07</f>
        <v>7490</v>
      </c>
      <c r="H199" s="113">
        <f t="shared" si="5"/>
        <v>1.07</v>
      </c>
      <c r="I199" s="108">
        <f t="shared" si="7"/>
        <v>0.00012360437010264098</v>
      </c>
    </row>
    <row r="200" spans="1:9" ht="12.75">
      <c r="A200" s="114">
        <f t="shared" si="6"/>
        <v>142</v>
      </c>
      <c r="B200" s="42" t="s">
        <v>136</v>
      </c>
      <c r="C200" s="7" t="s">
        <v>19</v>
      </c>
      <c r="D200" s="27"/>
      <c r="E200" s="94">
        <v>55000</v>
      </c>
      <c r="F200" s="94">
        <v>58000</v>
      </c>
      <c r="G200" s="94">
        <v>58000</v>
      </c>
      <c r="H200" s="113">
        <f t="shared" si="5"/>
        <v>1</v>
      </c>
      <c r="I200" s="108">
        <f t="shared" si="7"/>
        <v>0.0009571499954543626</v>
      </c>
    </row>
    <row r="201" spans="1:9" ht="12.75">
      <c r="A201" s="114">
        <f t="shared" si="6"/>
        <v>143</v>
      </c>
      <c r="B201" s="42" t="s">
        <v>137</v>
      </c>
      <c r="C201" s="7" t="s">
        <v>21</v>
      </c>
      <c r="D201" s="27"/>
      <c r="E201" s="94">
        <v>46000</v>
      </c>
      <c r="F201" s="94">
        <v>163234.41</v>
      </c>
      <c r="G201" s="94">
        <v>46000</v>
      </c>
      <c r="H201" s="113">
        <f t="shared" si="5"/>
        <v>0.28180332810955727</v>
      </c>
      <c r="I201" s="108">
        <f t="shared" si="7"/>
        <v>0.0007591189619120807</v>
      </c>
    </row>
    <row r="202" spans="1:9" ht="12.75">
      <c r="A202" s="114">
        <f t="shared" si="6"/>
        <v>144</v>
      </c>
      <c r="B202" s="42" t="s">
        <v>138</v>
      </c>
      <c r="C202" s="7" t="s">
        <v>22</v>
      </c>
      <c r="D202" s="27"/>
      <c r="E202" s="94">
        <v>5000</v>
      </c>
      <c r="F202" s="94">
        <v>3120</v>
      </c>
      <c r="G202" s="94">
        <v>0</v>
      </c>
      <c r="H202" s="113">
        <f t="shared" si="5"/>
        <v>0</v>
      </c>
      <c r="I202" s="108">
        <f t="shared" si="7"/>
        <v>0</v>
      </c>
    </row>
    <row r="203" spans="1:9" ht="12.75">
      <c r="A203" s="114">
        <f t="shared" si="6"/>
        <v>145</v>
      </c>
      <c r="B203" s="42" t="s">
        <v>138</v>
      </c>
      <c r="C203" s="7" t="s">
        <v>265</v>
      </c>
      <c r="D203" s="27"/>
      <c r="E203" s="94">
        <v>0</v>
      </c>
      <c r="F203" s="94">
        <v>0</v>
      </c>
      <c r="G203" s="94">
        <v>4000</v>
      </c>
      <c r="H203" s="113"/>
      <c r="I203" s="108">
        <f t="shared" si="7"/>
        <v>6.601034451409397E-05</v>
      </c>
    </row>
    <row r="204" spans="1:9" ht="12.75">
      <c r="A204" s="114">
        <f t="shared" si="6"/>
        <v>146</v>
      </c>
      <c r="B204" s="42" t="s">
        <v>139</v>
      </c>
      <c r="C204" s="7" t="s">
        <v>66</v>
      </c>
      <c r="D204" s="27"/>
      <c r="E204" s="94">
        <v>136873</v>
      </c>
      <c r="F204" s="94">
        <v>150000</v>
      </c>
      <c r="G204" s="94">
        <v>140000</v>
      </c>
      <c r="H204" s="113">
        <f t="shared" si="5"/>
        <v>0.9333333333333333</v>
      </c>
      <c r="I204" s="108">
        <f t="shared" si="7"/>
        <v>0.0023103620579932893</v>
      </c>
    </row>
    <row r="205" spans="1:9" ht="12.75">
      <c r="A205" s="114">
        <f t="shared" si="6"/>
        <v>147</v>
      </c>
      <c r="B205" s="42" t="s">
        <v>123</v>
      </c>
      <c r="C205" s="7" t="s">
        <v>49</v>
      </c>
      <c r="D205" s="27"/>
      <c r="E205" s="94">
        <v>640000</v>
      </c>
      <c r="F205" s="94">
        <v>640000</v>
      </c>
      <c r="G205" s="94">
        <f>F205*1.06</f>
        <v>678400</v>
      </c>
      <c r="H205" s="113">
        <f t="shared" si="5"/>
        <v>1.06</v>
      </c>
      <c r="I205" s="108">
        <f t="shared" si="7"/>
        <v>0.011195354429590338</v>
      </c>
    </row>
    <row r="206" spans="1:9" ht="12.75">
      <c r="A206" s="114">
        <f t="shared" si="6"/>
        <v>148</v>
      </c>
      <c r="B206" s="42" t="s">
        <v>140</v>
      </c>
      <c r="C206" s="7" t="s">
        <v>93</v>
      </c>
      <c r="D206" s="27"/>
      <c r="E206" s="94">
        <v>300000</v>
      </c>
      <c r="F206" s="94">
        <v>934566.46</v>
      </c>
      <c r="G206" s="94">
        <v>300000</v>
      </c>
      <c r="H206" s="113">
        <f t="shared" si="5"/>
        <v>0.3210044580457125</v>
      </c>
      <c r="I206" s="108">
        <f t="shared" si="7"/>
        <v>0.004950775838557049</v>
      </c>
    </row>
    <row r="207" spans="1:9" ht="12.75">
      <c r="A207" s="114">
        <f t="shared" si="6"/>
        <v>149</v>
      </c>
      <c r="B207" s="42" t="s">
        <v>119</v>
      </c>
      <c r="C207" s="7" t="s">
        <v>52</v>
      </c>
      <c r="D207" s="27"/>
      <c r="E207" s="94">
        <f>SUM(E209:E210)</f>
        <v>7500</v>
      </c>
      <c r="F207" s="94">
        <f>SUM(F209:F210)</f>
        <v>8000</v>
      </c>
      <c r="G207" s="94">
        <f>SUM(G209:G210)</f>
        <v>8000</v>
      </c>
      <c r="H207" s="113">
        <f t="shared" si="5"/>
        <v>1</v>
      </c>
      <c r="I207" s="108">
        <f t="shared" si="7"/>
        <v>0.00013202068902818794</v>
      </c>
    </row>
    <row r="208" spans="1:9" ht="12.75">
      <c r="A208" s="114">
        <f t="shared" si="6"/>
        <v>150</v>
      </c>
      <c r="B208" s="42"/>
      <c r="C208" s="7" t="s">
        <v>8</v>
      </c>
      <c r="D208" s="27"/>
      <c r="E208" s="94"/>
      <c r="F208" s="94"/>
      <c r="G208" s="94"/>
      <c r="H208" s="113"/>
      <c r="I208" s="108">
        <f t="shared" si="7"/>
        <v>0</v>
      </c>
    </row>
    <row r="209" spans="1:9" ht="12.75">
      <c r="A209" s="114">
        <f t="shared" si="6"/>
        <v>151</v>
      </c>
      <c r="B209" s="42"/>
      <c r="C209" s="7" t="s">
        <v>20</v>
      </c>
      <c r="D209" s="27"/>
      <c r="E209" s="94">
        <v>2000</v>
      </c>
      <c r="F209" s="94">
        <v>3000</v>
      </c>
      <c r="G209" s="94">
        <v>3000</v>
      </c>
      <c r="H209" s="113">
        <f t="shared" si="5"/>
        <v>1</v>
      </c>
      <c r="I209" s="108">
        <f t="shared" si="7"/>
        <v>4.950775838557048E-05</v>
      </c>
    </row>
    <row r="210" spans="1:9" ht="12.75">
      <c r="A210" s="114">
        <f t="shared" si="6"/>
        <v>152</v>
      </c>
      <c r="B210" s="42"/>
      <c r="C210" s="7" t="s">
        <v>96</v>
      </c>
      <c r="D210" s="27"/>
      <c r="E210" s="94">
        <v>5500</v>
      </c>
      <c r="F210" s="94">
        <v>5000</v>
      </c>
      <c r="G210" s="94">
        <v>5000</v>
      </c>
      <c r="H210" s="113">
        <f t="shared" si="5"/>
        <v>1</v>
      </c>
      <c r="I210" s="108">
        <f t="shared" si="7"/>
        <v>8.251293064261747E-05</v>
      </c>
    </row>
    <row r="211" spans="1:9" ht="12.75">
      <c r="A211" s="114">
        <f t="shared" si="6"/>
        <v>153</v>
      </c>
      <c r="B211" s="42" t="s">
        <v>124</v>
      </c>
      <c r="C211" s="7" t="s">
        <v>170</v>
      </c>
      <c r="D211" s="27"/>
      <c r="E211" s="94">
        <v>13600</v>
      </c>
      <c r="F211" s="94">
        <v>11800</v>
      </c>
      <c r="G211" s="94">
        <v>12000</v>
      </c>
      <c r="H211" s="113">
        <f t="shared" si="5"/>
        <v>1.0169491525423728</v>
      </c>
      <c r="I211" s="108">
        <f t="shared" si="7"/>
        <v>0.00019803103354228192</v>
      </c>
    </row>
    <row r="212" spans="1:9" ht="12.75">
      <c r="A212" s="114">
        <f t="shared" si="6"/>
        <v>154</v>
      </c>
      <c r="B212" s="42" t="s">
        <v>122</v>
      </c>
      <c r="C212" s="7" t="s">
        <v>48</v>
      </c>
      <c r="D212" s="27"/>
      <c r="E212" s="94">
        <v>300</v>
      </c>
      <c r="F212" s="94">
        <v>283</v>
      </c>
      <c r="G212" s="94">
        <v>0</v>
      </c>
      <c r="H212" s="113">
        <f t="shared" si="5"/>
        <v>0</v>
      </c>
      <c r="I212" s="108">
        <f t="shared" si="7"/>
        <v>0</v>
      </c>
    </row>
    <row r="213" spans="1:9" s="3" customFormat="1" ht="12.75">
      <c r="A213" s="114">
        <f t="shared" si="6"/>
        <v>155</v>
      </c>
      <c r="B213" s="14">
        <v>75618</v>
      </c>
      <c r="C213" s="15" t="s">
        <v>94</v>
      </c>
      <c r="D213" s="21">
        <f>SUM(D215:D217)</f>
        <v>30000</v>
      </c>
      <c r="E213" s="93"/>
      <c r="F213" s="93"/>
      <c r="G213" s="93"/>
      <c r="H213" s="113"/>
      <c r="I213" s="108">
        <f t="shared" si="7"/>
        <v>0</v>
      </c>
    </row>
    <row r="214" spans="1:9" s="3" customFormat="1" ht="12.75">
      <c r="A214" s="114">
        <f t="shared" si="6"/>
        <v>156</v>
      </c>
      <c r="B214" s="14"/>
      <c r="C214" s="53" t="s">
        <v>115</v>
      </c>
      <c r="D214" s="21"/>
      <c r="E214" s="93">
        <f>SUM(E215:E221)</f>
        <v>330300</v>
      </c>
      <c r="F214" s="93">
        <f>SUM(F215:F221)</f>
        <v>421778</v>
      </c>
      <c r="G214" s="93">
        <f>SUM(G215:G221)</f>
        <v>410300</v>
      </c>
      <c r="H214" s="113">
        <f t="shared" si="5"/>
        <v>0.9727866318300148</v>
      </c>
      <c r="I214" s="108">
        <f t="shared" si="7"/>
        <v>0.00677101108853319</v>
      </c>
    </row>
    <row r="215" spans="1:9" ht="12.75">
      <c r="A215" s="114">
        <f t="shared" si="6"/>
        <v>157</v>
      </c>
      <c r="B215" s="42" t="s">
        <v>141</v>
      </c>
      <c r="C215" s="7" t="s">
        <v>67</v>
      </c>
      <c r="D215" s="27">
        <v>30000</v>
      </c>
      <c r="E215" s="94">
        <v>40000</v>
      </c>
      <c r="F215" s="94">
        <v>40000</v>
      </c>
      <c r="G215" s="94">
        <v>40000</v>
      </c>
      <c r="H215" s="113">
        <f t="shared" si="5"/>
        <v>1</v>
      </c>
      <c r="I215" s="108">
        <f t="shared" si="7"/>
        <v>0.0006601034451409397</v>
      </c>
    </row>
    <row r="216" spans="1:9" ht="12.75">
      <c r="A216" s="114">
        <f t="shared" si="6"/>
        <v>158</v>
      </c>
      <c r="B216" s="42" t="s">
        <v>142</v>
      </c>
      <c r="C216" s="7" t="s">
        <v>109</v>
      </c>
      <c r="D216" s="27"/>
      <c r="E216" s="94"/>
      <c r="F216" s="94"/>
      <c r="G216" s="94"/>
      <c r="H216" s="113"/>
      <c r="I216" s="108">
        <f t="shared" si="7"/>
        <v>0</v>
      </c>
    </row>
    <row r="217" spans="1:9" ht="12.75">
      <c r="A217" s="114">
        <f t="shared" si="6"/>
        <v>159</v>
      </c>
      <c r="B217" s="42"/>
      <c r="C217" s="7" t="s">
        <v>110</v>
      </c>
      <c r="D217" s="27"/>
      <c r="E217" s="94">
        <v>270000</v>
      </c>
      <c r="F217" s="94">
        <v>371000</v>
      </c>
      <c r="G217" s="94">
        <v>360000</v>
      </c>
      <c r="H217" s="113">
        <f t="shared" si="5"/>
        <v>0.9703504043126685</v>
      </c>
      <c r="I217" s="108">
        <f t="shared" si="7"/>
        <v>0.005940931006268458</v>
      </c>
    </row>
    <row r="218" spans="1:9" ht="12.75">
      <c r="A218" s="114">
        <f t="shared" si="6"/>
        <v>160</v>
      </c>
      <c r="B218" s="42" t="s">
        <v>195</v>
      </c>
      <c r="C218" s="43" t="s">
        <v>196</v>
      </c>
      <c r="D218" s="27"/>
      <c r="E218" s="94"/>
      <c r="F218" s="94"/>
      <c r="G218" s="94"/>
      <c r="H218" s="113"/>
      <c r="I218" s="108">
        <f t="shared" si="7"/>
        <v>0</v>
      </c>
    </row>
    <row r="219" spans="1:9" ht="12.75">
      <c r="A219" s="114">
        <f t="shared" si="6"/>
        <v>161</v>
      </c>
      <c r="B219" s="42"/>
      <c r="C219" s="7" t="s">
        <v>197</v>
      </c>
      <c r="D219" s="27"/>
      <c r="E219" s="94">
        <v>20000</v>
      </c>
      <c r="F219" s="94">
        <v>10500</v>
      </c>
      <c r="G219" s="94">
        <v>10000</v>
      </c>
      <c r="H219" s="113">
        <f t="shared" si="5"/>
        <v>0.9523809523809523</v>
      </c>
      <c r="I219" s="108">
        <f t="shared" si="7"/>
        <v>0.00016502586128523493</v>
      </c>
    </row>
    <row r="220" spans="1:9" ht="12.75">
      <c r="A220" s="114">
        <f t="shared" si="6"/>
        <v>162</v>
      </c>
      <c r="B220" s="42" t="s">
        <v>124</v>
      </c>
      <c r="C220" s="7" t="s">
        <v>59</v>
      </c>
      <c r="D220" s="27"/>
      <c r="E220" s="94"/>
      <c r="F220" s="94"/>
      <c r="G220" s="94"/>
      <c r="H220" s="113"/>
      <c r="I220" s="108">
        <f t="shared" si="7"/>
        <v>0</v>
      </c>
    </row>
    <row r="221" spans="1:9" ht="12.75">
      <c r="A221" s="114">
        <f t="shared" si="6"/>
        <v>163</v>
      </c>
      <c r="B221" s="7"/>
      <c r="C221" s="7" t="s">
        <v>50</v>
      </c>
      <c r="D221" s="27"/>
      <c r="E221" s="94">
        <v>300</v>
      </c>
      <c r="F221" s="94">
        <v>278</v>
      </c>
      <c r="G221" s="94">
        <v>300</v>
      </c>
      <c r="H221" s="113">
        <f t="shared" si="5"/>
        <v>1.079136690647482</v>
      </c>
      <c r="I221" s="108">
        <f t="shared" si="7"/>
        <v>4.950775838557049E-06</v>
      </c>
    </row>
    <row r="222" spans="1:9" s="40" customFormat="1" ht="12.75">
      <c r="A222" s="114">
        <f t="shared" si="6"/>
        <v>164</v>
      </c>
      <c r="B222" s="41">
        <v>75621</v>
      </c>
      <c r="C222" s="38" t="s">
        <v>83</v>
      </c>
      <c r="D222" s="39"/>
      <c r="E222" s="90"/>
      <c r="F222" s="90"/>
      <c r="G222" s="90"/>
      <c r="H222" s="113"/>
      <c r="I222" s="108">
        <f t="shared" si="7"/>
        <v>0</v>
      </c>
    </row>
    <row r="223" spans="1:9" s="40" customFormat="1" ht="12.75">
      <c r="A223" s="114">
        <f t="shared" si="6"/>
        <v>165</v>
      </c>
      <c r="B223" s="46"/>
      <c r="C223" s="38" t="s">
        <v>82</v>
      </c>
      <c r="D223" s="39">
        <f>SUM(D224:D225)</f>
        <v>1232001</v>
      </c>
      <c r="E223" s="90">
        <f>SUM(E224:E225)</f>
        <v>2926644</v>
      </c>
      <c r="F223" s="90">
        <f>SUM(F224:F225)</f>
        <v>3091958</v>
      </c>
      <c r="G223" s="90">
        <f>SUM(G224:G225)</f>
        <v>3350430</v>
      </c>
      <c r="H223" s="113">
        <f t="shared" si="5"/>
        <v>1.0835949259336641</v>
      </c>
      <c r="I223" s="108">
        <f t="shared" si="7"/>
        <v>0.05529075964258897</v>
      </c>
    </row>
    <row r="224" spans="1:9" s="51" customFormat="1" ht="12.75">
      <c r="A224" s="114">
        <f t="shared" si="6"/>
        <v>166</v>
      </c>
      <c r="B224" s="45" t="s">
        <v>143</v>
      </c>
      <c r="C224" s="44" t="s">
        <v>79</v>
      </c>
      <c r="D224" s="50">
        <f>1208799+19202</f>
        <v>1228001</v>
      </c>
      <c r="E224" s="95">
        <v>2876644</v>
      </c>
      <c r="F224" s="95">
        <v>2876644</v>
      </c>
      <c r="G224" s="95">
        <v>3150430</v>
      </c>
      <c r="H224" s="113">
        <f t="shared" si="5"/>
        <v>1.0951754892159058</v>
      </c>
      <c r="I224" s="108">
        <f t="shared" si="7"/>
        <v>0.05199024241688427</v>
      </c>
    </row>
    <row r="225" spans="1:9" s="51" customFormat="1" ht="12.75">
      <c r="A225" s="114">
        <f t="shared" si="6"/>
        <v>167</v>
      </c>
      <c r="B225" s="45" t="s">
        <v>144</v>
      </c>
      <c r="C225" s="44" t="s">
        <v>80</v>
      </c>
      <c r="D225" s="50">
        <v>4000</v>
      </c>
      <c r="E225" s="95">
        <v>50000</v>
      </c>
      <c r="F225" s="95">
        <v>215314</v>
      </c>
      <c r="G225" s="95">
        <v>200000</v>
      </c>
      <c r="H225" s="113">
        <f t="shared" si="5"/>
        <v>0.9288759671921009</v>
      </c>
      <c r="I225" s="108">
        <f t="shared" si="7"/>
        <v>0.0033005172257046986</v>
      </c>
    </row>
    <row r="226" spans="1:9" s="4" customFormat="1" ht="15">
      <c r="A226" s="114">
        <f t="shared" si="6"/>
        <v>168</v>
      </c>
      <c r="B226" s="12">
        <v>758</v>
      </c>
      <c r="C226" s="13" t="s">
        <v>117</v>
      </c>
      <c r="D226" s="20" t="e">
        <f>D228+#REF!+#REF!+D233</f>
        <v>#REF!</v>
      </c>
      <c r="E226" s="89">
        <f>E228+E233+E256+E231</f>
        <v>3370808.08</v>
      </c>
      <c r="F226" s="89">
        <f>F228+F233+F256+F231</f>
        <v>3453735.64</v>
      </c>
      <c r="G226" s="89">
        <f>G228+G233+G256+G231</f>
        <v>2746001</v>
      </c>
      <c r="H226" s="113">
        <f t="shared" si="5"/>
        <v>0.7950814092997575</v>
      </c>
      <c r="I226" s="108">
        <f t="shared" si="7"/>
        <v>0.04531611801151164</v>
      </c>
    </row>
    <row r="227" spans="1:9" s="3" customFormat="1" ht="12.75">
      <c r="A227" s="114">
        <f t="shared" si="6"/>
        <v>169</v>
      </c>
      <c r="B227" s="18">
        <v>75801</v>
      </c>
      <c r="C227" s="15" t="s">
        <v>41</v>
      </c>
      <c r="D227" s="21"/>
      <c r="E227" s="93"/>
      <c r="F227" s="93"/>
      <c r="G227" s="93"/>
      <c r="H227" s="113"/>
      <c r="I227" s="108">
        <f t="shared" si="7"/>
        <v>0</v>
      </c>
    </row>
    <row r="228" spans="1:9" s="3" customFormat="1" ht="12.75">
      <c r="A228" s="114">
        <f t="shared" si="6"/>
        <v>170</v>
      </c>
      <c r="B228" s="18"/>
      <c r="C228" s="15" t="s">
        <v>42</v>
      </c>
      <c r="D228" s="21">
        <f>D229</f>
        <v>2133508</v>
      </c>
      <c r="E228" s="93">
        <f>E229</f>
        <v>2061887</v>
      </c>
      <c r="F228" s="93">
        <f>F229</f>
        <v>2061887</v>
      </c>
      <c r="G228" s="93">
        <f>G229</f>
        <v>2129063</v>
      </c>
      <c r="H228" s="113">
        <f t="shared" si="5"/>
        <v>1.0325798649489522</v>
      </c>
      <c r="I228" s="108">
        <f t="shared" si="7"/>
        <v>0.03513504553055261</v>
      </c>
    </row>
    <row r="229" spans="1:9" s="6" customFormat="1" ht="12.75">
      <c r="A229" s="114">
        <f t="shared" si="6"/>
        <v>171</v>
      </c>
      <c r="B229" s="19">
        <v>2920</v>
      </c>
      <c r="C229" s="11" t="s">
        <v>24</v>
      </c>
      <c r="D229" s="31">
        <f>2156952-23444</f>
        <v>2133508</v>
      </c>
      <c r="E229" s="96">
        <v>2061887</v>
      </c>
      <c r="F229" s="96">
        <v>2061887</v>
      </c>
      <c r="G229" s="96">
        <v>2129063</v>
      </c>
      <c r="H229" s="113">
        <f t="shared" si="5"/>
        <v>1.0325798649489522</v>
      </c>
      <c r="I229" s="108">
        <f t="shared" si="7"/>
        <v>0.03513504553055261</v>
      </c>
    </row>
    <row r="230" spans="1:9" s="6" customFormat="1" ht="12.75">
      <c r="A230" s="114">
        <f t="shared" si="6"/>
        <v>172</v>
      </c>
      <c r="B230" s="137">
        <v>75807</v>
      </c>
      <c r="C230" s="15" t="s">
        <v>259</v>
      </c>
      <c r="D230" s="31"/>
      <c r="E230" s="96"/>
      <c r="F230" s="96"/>
      <c r="G230" s="96"/>
      <c r="H230" s="113"/>
      <c r="I230" s="108">
        <f t="shared" si="7"/>
        <v>0</v>
      </c>
    </row>
    <row r="231" spans="1:9" s="6" customFormat="1" ht="12.75">
      <c r="A231" s="114">
        <f t="shared" si="6"/>
        <v>173</v>
      </c>
      <c r="B231" s="137"/>
      <c r="C231" s="15" t="s">
        <v>260</v>
      </c>
      <c r="D231" s="31"/>
      <c r="E231" s="84">
        <f>E232</f>
        <v>0</v>
      </c>
      <c r="F231" s="84">
        <f>F232</f>
        <v>0</v>
      </c>
      <c r="G231" s="84">
        <f>G232</f>
        <v>558985</v>
      </c>
      <c r="H231" s="113"/>
      <c r="I231" s="108">
        <f t="shared" si="7"/>
        <v>0.009224698107052705</v>
      </c>
    </row>
    <row r="232" spans="1:9" s="6" customFormat="1" ht="12.75">
      <c r="A232" s="114">
        <f t="shared" si="6"/>
        <v>174</v>
      </c>
      <c r="B232" s="19">
        <v>2920</v>
      </c>
      <c r="C232" s="11" t="s">
        <v>24</v>
      </c>
      <c r="D232" s="31"/>
      <c r="E232" s="96">
        <v>0</v>
      </c>
      <c r="F232" s="96">
        <v>0</v>
      </c>
      <c r="G232" s="96">
        <v>558985</v>
      </c>
      <c r="H232" s="113"/>
      <c r="I232" s="108">
        <f t="shared" si="7"/>
        <v>0.009224698107052705</v>
      </c>
    </row>
    <row r="233" spans="1:9" s="3" customFormat="1" ht="12.75">
      <c r="A233" s="114">
        <f t="shared" si="6"/>
        <v>175</v>
      </c>
      <c r="B233" s="18">
        <v>75814</v>
      </c>
      <c r="C233" s="15" t="s">
        <v>25</v>
      </c>
      <c r="D233" s="21">
        <f>SUM(D236:D246)</f>
        <v>0</v>
      </c>
      <c r="E233" s="93">
        <f>E236+E237+E238+E243+E244+E246+E247+E255</f>
        <v>1253839.08</v>
      </c>
      <c r="F233" s="93">
        <f>F236+F237+F238+F243+F244+F246+F247+F255</f>
        <v>1336766.6400000001</v>
      </c>
      <c r="G233" s="93">
        <f>G236+G237+G238+G243+G244+G246+G247+G255</f>
        <v>0</v>
      </c>
      <c r="H233" s="113">
        <f t="shared" si="5"/>
        <v>0</v>
      </c>
      <c r="I233" s="108">
        <f t="shared" si="7"/>
        <v>0</v>
      </c>
    </row>
    <row r="234" spans="1:9" s="51" customFormat="1" ht="12.75">
      <c r="A234" s="114">
        <f t="shared" si="6"/>
        <v>176</v>
      </c>
      <c r="B234" s="42" t="s">
        <v>132</v>
      </c>
      <c r="C234" s="7" t="s">
        <v>64</v>
      </c>
      <c r="D234" s="50"/>
      <c r="E234" s="95"/>
      <c r="F234" s="95"/>
      <c r="G234" s="95"/>
      <c r="H234" s="113"/>
      <c r="I234" s="108">
        <f t="shared" si="7"/>
        <v>0</v>
      </c>
    </row>
    <row r="235" spans="1:9" s="51" customFormat="1" ht="12.75">
      <c r="A235" s="114">
        <f t="shared" si="6"/>
        <v>177</v>
      </c>
      <c r="B235" s="42"/>
      <c r="C235" s="7" t="s">
        <v>81</v>
      </c>
      <c r="D235" s="50"/>
      <c r="E235" s="95"/>
      <c r="F235" s="95"/>
      <c r="G235" s="95"/>
      <c r="H235" s="113"/>
      <c r="I235" s="108">
        <f t="shared" si="7"/>
        <v>0</v>
      </c>
    </row>
    <row r="236" spans="1:9" s="51" customFormat="1" ht="12.75">
      <c r="A236" s="114">
        <f t="shared" si="6"/>
        <v>178</v>
      </c>
      <c r="B236" s="42"/>
      <c r="C236" s="7" t="s">
        <v>65</v>
      </c>
      <c r="D236" s="50">
        <v>0</v>
      </c>
      <c r="E236" s="95">
        <v>0</v>
      </c>
      <c r="F236" s="95">
        <v>0</v>
      </c>
      <c r="G236" s="95">
        <v>0</v>
      </c>
      <c r="H236" s="113"/>
      <c r="I236" s="108">
        <f t="shared" si="7"/>
        <v>0</v>
      </c>
    </row>
    <row r="237" spans="1:9" s="51" customFormat="1" ht="12.75">
      <c r="A237" s="114">
        <f t="shared" si="6"/>
        <v>179</v>
      </c>
      <c r="B237" s="45" t="s">
        <v>137</v>
      </c>
      <c r="C237" s="7" t="s">
        <v>21</v>
      </c>
      <c r="D237" s="50">
        <v>0</v>
      </c>
      <c r="E237" s="95">
        <v>0</v>
      </c>
      <c r="F237" s="95">
        <v>0</v>
      </c>
      <c r="G237" s="95">
        <v>0</v>
      </c>
      <c r="H237" s="113"/>
      <c r="I237" s="108">
        <f t="shared" si="7"/>
        <v>0</v>
      </c>
    </row>
    <row r="238" spans="1:9" s="51" customFormat="1" ht="12.75">
      <c r="A238" s="114">
        <f t="shared" si="6"/>
        <v>180</v>
      </c>
      <c r="B238" s="45" t="s">
        <v>141</v>
      </c>
      <c r="C238" s="44" t="s">
        <v>67</v>
      </c>
      <c r="D238" s="50">
        <v>0</v>
      </c>
      <c r="E238" s="95">
        <v>0</v>
      </c>
      <c r="F238" s="95">
        <v>0</v>
      </c>
      <c r="G238" s="95">
        <v>0</v>
      </c>
      <c r="H238" s="113"/>
      <c r="I238" s="108">
        <f t="shared" si="7"/>
        <v>0</v>
      </c>
    </row>
    <row r="239" spans="1:9" s="51" customFormat="1" ht="12.75">
      <c r="A239" s="114">
        <f t="shared" si="6"/>
        <v>181</v>
      </c>
      <c r="B239" s="45" t="s">
        <v>125</v>
      </c>
      <c r="C239" s="7" t="s">
        <v>56</v>
      </c>
      <c r="D239" s="50"/>
      <c r="E239" s="95"/>
      <c r="F239" s="95"/>
      <c r="G239" s="95"/>
      <c r="H239" s="113"/>
      <c r="I239" s="108">
        <f t="shared" si="7"/>
        <v>0</v>
      </c>
    </row>
    <row r="240" spans="1:9" s="51" customFormat="1" ht="12.75">
      <c r="A240" s="114">
        <f t="shared" si="6"/>
        <v>182</v>
      </c>
      <c r="B240" s="45"/>
      <c r="C240" s="7" t="s">
        <v>57</v>
      </c>
      <c r="D240" s="50"/>
      <c r="E240" s="95"/>
      <c r="F240" s="95"/>
      <c r="G240" s="95"/>
      <c r="H240" s="113"/>
      <c r="I240" s="108">
        <f t="shared" si="7"/>
        <v>0</v>
      </c>
    </row>
    <row r="241" spans="1:9" s="51" customFormat="1" ht="12.75">
      <c r="A241" s="114">
        <f t="shared" si="6"/>
        <v>183</v>
      </c>
      <c r="B241" s="45"/>
      <c r="C241" s="7" t="s">
        <v>209</v>
      </c>
      <c r="D241" s="50"/>
      <c r="E241" s="95"/>
      <c r="F241" s="95"/>
      <c r="G241" s="95"/>
      <c r="H241" s="113"/>
      <c r="I241" s="108">
        <f t="shared" si="7"/>
        <v>0</v>
      </c>
    </row>
    <row r="242" spans="1:9" s="51" customFormat="1" ht="12.75">
      <c r="A242" s="114">
        <f t="shared" si="6"/>
        <v>184</v>
      </c>
      <c r="B242" s="45"/>
      <c r="C242" s="44" t="s">
        <v>234</v>
      </c>
      <c r="D242" s="50"/>
      <c r="E242" s="95"/>
      <c r="F242" s="95"/>
      <c r="G242" s="95"/>
      <c r="H242" s="113"/>
      <c r="I242" s="108">
        <f t="shared" si="7"/>
        <v>0</v>
      </c>
    </row>
    <row r="243" spans="1:9" s="51" customFormat="1" ht="12.75">
      <c r="A243" s="114">
        <f t="shared" si="6"/>
        <v>185</v>
      </c>
      <c r="B243" s="45"/>
      <c r="C243" s="44" t="s">
        <v>235</v>
      </c>
      <c r="D243" s="50"/>
      <c r="E243" s="95">
        <v>431249</v>
      </c>
      <c r="F243" s="95">
        <v>431249</v>
      </c>
      <c r="G243" s="95">
        <v>0</v>
      </c>
      <c r="H243" s="113">
        <f>G243/F243</f>
        <v>0</v>
      </c>
      <c r="I243" s="108">
        <f t="shared" si="7"/>
        <v>0</v>
      </c>
    </row>
    <row r="244" spans="1:9" s="51" customFormat="1" ht="12.75">
      <c r="A244" s="114">
        <f t="shared" si="6"/>
        <v>186</v>
      </c>
      <c r="B244" s="45" t="s">
        <v>140</v>
      </c>
      <c r="C244" s="44" t="s">
        <v>93</v>
      </c>
      <c r="D244" s="50"/>
      <c r="E244" s="95">
        <v>0</v>
      </c>
      <c r="F244" s="95">
        <v>0</v>
      </c>
      <c r="G244" s="95">
        <v>0</v>
      </c>
      <c r="H244" s="113"/>
      <c r="I244" s="108">
        <f t="shared" si="7"/>
        <v>0</v>
      </c>
    </row>
    <row r="245" spans="1:9" s="51" customFormat="1" ht="12.75">
      <c r="A245" s="114">
        <f t="shared" si="6"/>
        <v>187</v>
      </c>
      <c r="B245" s="45" t="s">
        <v>124</v>
      </c>
      <c r="C245" s="7" t="s">
        <v>59</v>
      </c>
      <c r="D245" s="50"/>
      <c r="E245" s="95"/>
      <c r="F245" s="95"/>
      <c r="G245" s="95"/>
      <c r="H245" s="113"/>
      <c r="I245" s="108">
        <f t="shared" si="7"/>
        <v>0</v>
      </c>
    </row>
    <row r="246" spans="1:9" s="51" customFormat="1" ht="12.75">
      <c r="A246" s="114">
        <f t="shared" si="6"/>
        <v>188</v>
      </c>
      <c r="B246" s="45"/>
      <c r="C246" s="7" t="s">
        <v>50</v>
      </c>
      <c r="D246" s="50">
        <v>0</v>
      </c>
      <c r="E246" s="95">
        <v>0</v>
      </c>
      <c r="F246" s="95">
        <v>0</v>
      </c>
      <c r="G246" s="95">
        <v>0</v>
      </c>
      <c r="H246" s="113"/>
      <c r="I246" s="108">
        <f t="shared" si="7"/>
        <v>0</v>
      </c>
    </row>
    <row r="247" spans="1:9" s="51" customFormat="1" ht="12.75">
      <c r="A247" s="114">
        <f t="shared" si="6"/>
        <v>189</v>
      </c>
      <c r="B247" s="45" t="s">
        <v>122</v>
      </c>
      <c r="C247" s="7" t="s">
        <v>48</v>
      </c>
      <c r="D247" s="50"/>
      <c r="E247" s="95">
        <f>SUM(E250:E255)</f>
        <v>822590.08</v>
      </c>
      <c r="F247" s="95">
        <f>SUM(F250:F255)</f>
        <v>905517.64</v>
      </c>
      <c r="G247" s="95">
        <f>SUM(G250:G255)</f>
        <v>0</v>
      </c>
      <c r="H247" s="113">
        <f>G247/F247</f>
        <v>0</v>
      </c>
      <c r="I247" s="108">
        <f t="shared" si="7"/>
        <v>0</v>
      </c>
    </row>
    <row r="248" spans="1:9" s="51" customFormat="1" ht="12.75">
      <c r="A248" s="114">
        <f t="shared" si="6"/>
        <v>190</v>
      </c>
      <c r="B248" s="45"/>
      <c r="C248" s="7" t="s">
        <v>8</v>
      </c>
      <c r="D248" s="50"/>
      <c r="E248" s="95"/>
      <c r="F248" s="95"/>
      <c r="G248" s="95"/>
      <c r="H248" s="113"/>
      <c r="I248" s="108">
        <f t="shared" si="7"/>
        <v>0</v>
      </c>
    </row>
    <row r="249" spans="1:9" s="51" customFormat="1" ht="12.75">
      <c r="A249" s="114">
        <f t="shared" si="6"/>
        <v>191</v>
      </c>
      <c r="B249" s="45"/>
      <c r="C249" s="7" t="s">
        <v>210</v>
      </c>
      <c r="D249" s="50"/>
      <c r="E249" s="95"/>
      <c r="F249" s="95"/>
      <c r="G249" s="95"/>
      <c r="H249" s="113"/>
      <c r="I249" s="108">
        <f t="shared" si="7"/>
        <v>0</v>
      </c>
    </row>
    <row r="250" spans="1:9" s="51" customFormat="1" ht="12.75">
      <c r="A250" s="114">
        <f t="shared" si="6"/>
        <v>192</v>
      </c>
      <c r="B250" s="45"/>
      <c r="C250" s="7" t="s">
        <v>211</v>
      </c>
      <c r="D250" s="50"/>
      <c r="E250" s="95">
        <v>781890.08</v>
      </c>
      <c r="F250" s="95">
        <v>781890.08</v>
      </c>
      <c r="G250" s="95">
        <v>0</v>
      </c>
      <c r="H250" s="113">
        <f>G250/F250</f>
        <v>0</v>
      </c>
      <c r="I250" s="108">
        <f t="shared" si="7"/>
        <v>0</v>
      </c>
    </row>
    <row r="251" spans="1:9" s="51" customFormat="1" ht="12.75">
      <c r="A251" s="114">
        <f t="shared" si="6"/>
        <v>193</v>
      </c>
      <c r="B251" s="45"/>
      <c r="C251" s="7" t="s">
        <v>236</v>
      </c>
      <c r="D251" s="50"/>
      <c r="E251" s="95"/>
      <c r="F251" s="95"/>
      <c r="G251" s="95"/>
      <c r="H251" s="113"/>
      <c r="I251" s="108">
        <f t="shared" si="7"/>
        <v>0</v>
      </c>
    </row>
    <row r="252" spans="1:9" s="51" customFormat="1" ht="12.75">
      <c r="A252" s="114">
        <f aca="true" t="shared" si="8" ref="A252:A316">A251+1</f>
        <v>194</v>
      </c>
      <c r="B252" s="45"/>
      <c r="C252" s="24" t="s">
        <v>212</v>
      </c>
      <c r="D252" s="50"/>
      <c r="E252" s="95">
        <v>40700</v>
      </c>
      <c r="F252" s="95">
        <v>40700</v>
      </c>
      <c r="G252" s="95">
        <v>0</v>
      </c>
      <c r="H252" s="113">
        <f>G252/F252</f>
        <v>0</v>
      </c>
      <c r="I252" s="108">
        <f t="shared" si="7"/>
        <v>0</v>
      </c>
    </row>
    <row r="253" spans="1:9" s="51" customFormat="1" ht="12.75">
      <c r="A253" s="114">
        <f t="shared" si="8"/>
        <v>195</v>
      </c>
      <c r="B253" s="45"/>
      <c r="C253" s="24" t="s">
        <v>249</v>
      </c>
      <c r="D253" s="50"/>
      <c r="E253" s="95">
        <v>0</v>
      </c>
      <c r="F253" s="95">
        <v>113980.13</v>
      </c>
      <c r="G253" s="95">
        <v>0</v>
      </c>
      <c r="H253" s="113"/>
      <c r="I253" s="108">
        <f t="shared" si="7"/>
        <v>0</v>
      </c>
    </row>
    <row r="254" spans="1:9" s="51" customFormat="1" ht="12.75">
      <c r="A254" s="114">
        <f t="shared" si="8"/>
        <v>196</v>
      </c>
      <c r="B254" s="45"/>
      <c r="C254" s="24" t="s">
        <v>250</v>
      </c>
      <c r="D254" s="50"/>
      <c r="E254" s="95">
        <v>0</v>
      </c>
      <c r="F254" s="95">
        <v>-31052.57</v>
      </c>
      <c r="G254" s="95">
        <v>0</v>
      </c>
      <c r="H254" s="113"/>
      <c r="I254" s="108">
        <f t="shared" si="7"/>
        <v>0</v>
      </c>
    </row>
    <row r="255" spans="1:9" s="51" customFormat="1" ht="12.75">
      <c r="A255" s="114">
        <f t="shared" si="8"/>
        <v>197</v>
      </c>
      <c r="B255" s="45">
        <v>2010</v>
      </c>
      <c r="C255" s="7" t="s">
        <v>201</v>
      </c>
      <c r="D255" s="50"/>
      <c r="E255" s="95">
        <v>0</v>
      </c>
      <c r="F255" s="95">
        <v>0</v>
      </c>
      <c r="G255" s="95">
        <v>0</v>
      </c>
      <c r="H255" s="113"/>
      <c r="I255" s="108">
        <f t="shared" si="7"/>
        <v>0</v>
      </c>
    </row>
    <row r="256" spans="1:9" s="40" customFormat="1" ht="12.75">
      <c r="A256" s="114">
        <f t="shared" si="8"/>
        <v>198</v>
      </c>
      <c r="B256" s="41">
        <v>75831</v>
      </c>
      <c r="C256" s="53" t="s">
        <v>188</v>
      </c>
      <c r="D256" s="39"/>
      <c r="E256" s="90">
        <f>E258</f>
        <v>55082</v>
      </c>
      <c r="F256" s="90">
        <f>F258</f>
        <v>55082</v>
      </c>
      <c r="G256" s="90">
        <f>G258</f>
        <v>57953</v>
      </c>
      <c r="H256" s="113">
        <f>G256/F256</f>
        <v>1.0521222904033987</v>
      </c>
      <c r="I256" s="108">
        <f aca="true" t="shared" si="9" ref="I256:I320">G256/$G$433</f>
        <v>0.0009563743739063221</v>
      </c>
    </row>
    <row r="257" spans="1:9" s="51" customFormat="1" ht="12.75">
      <c r="A257" s="114">
        <f t="shared" si="8"/>
        <v>199</v>
      </c>
      <c r="B257" s="19">
        <v>2920</v>
      </c>
      <c r="C257" s="11" t="s">
        <v>24</v>
      </c>
      <c r="D257" s="50"/>
      <c r="E257" s="95"/>
      <c r="F257" s="95"/>
      <c r="G257" s="95"/>
      <c r="H257" s="113"/>
      <c r="I257" s="108">
        <f t="shared" si="9"/>
        <v>0</v>
      </c>
    </row>
    <row r="258" spans="1:9" s="51" customFormat="1" ht="12.75">
      <c r="A258" s="114">
        <f t="shared" si="8"/>
        <v>200</v>
      </c>
      <c r="B258" s="45"/>
      <c r="C258" s="43" t="s">
        <v>189</v>
      </c>
      <c r="D258" s="50"/>
      <c r="E258" s="95">
        <v>55082</v>
      </c>
      <c r="F258" s="95">
        <v>55082</v>
      </c>
      <c r="G258" s="95">
        <v>57953</v>
      </c>
      <c r="H258" s="113">
        <f>G258/F258</f>
        <v>1.0521222904033987</v>
      </c>
      <c r="I258" s="108">
        <f t="shared" si="9"/>
        <v>0.0009563743739063221</v>
      </c>
    </row>
    <row r="259" spans="1:9" s="4" customFormat="1" ht="15">
      <c r="A259" s="114">
        <f t="shared" si="8"/>
        <v>201</v>
      </c>
      <c r="B259" s="12">
        <v>801</v>
      </c>
      <c r="C259" s="16" t="s">
        <v>11</v>
      </c>
      <c r="D259" s="20" t="e">
        <f>D260+#REF!+D297+#REF!</f>
        <v>#REF!</v>
      </c>
      <c r="E259" s="89">
        <f>E260+E288+E297+E312+E306</f>
        <v>841172.75</v>
      </c>
      <c r="F259" s="89">
        <f>F260+F288+F297+F312+F306</f>
        <v>856804.75</v>
      </c>
      <c r="G259" s="89">
        <f>G260+G288+G297+G312+G306</f>
        <v>2089240</v>
      </c>
      <c r="H259" s="113">
        <f>G259/F259</f>
        <v>2.4384085172263577</v>
      </c>
      <c r="I259" s="108">
        <f t="shared" si="9"/>
        <v>0.03447786304315643</v>
      </c>
    </row>
    <row r="260" spans="1:9" s="3" customFormat="1" ht="12.75">
      <c r="A260" s="114">
        <f t="shared" si="8"/>
        <v>202</v>
      </c>
      <c r="B260" s="14">
        <v>80101</v>
      </c>
      <c r="C260" s="15" t="s">
        <v>12</v>
      </c>
      <c r="D260" s="21" t="e">
        <f>D261+D265+D269+D274+#REF!+D279</f>
        <v>#REF!</v>
      </c>
      <c r="E260" s="93">
        <f>E261+E265+E269+E274+E278+E279+E285+E287</f>
        <v>177888</v>
      </c>
      <c r="F260" s="93">
        <f>F261+F265+F269+F274+F278+F279+F285+F287</f>
        <v>179625</v>
      </c>
      <c r="G260" s="93">
        <f>G261+G265+G269+G274+G278+G279+G285+G287</f>
        <v>24000</v>
      </c>
      <c r="H260" s="113">
        <f>G260/F260</f>
        <v>0.1336116910229645</v>
      </c>
      <c r="I260" s="108">
        <f t="shared" si="9"/>
        <v>0.00039606206708456385</v>
      </c>
    </row>
    <row r="261" spans="1:9" s="51" customFormat="1" ht="12.75">
      <c r="A261" s="114">
        <f t="shared" si="8"/>
        <v>203</v>
      </c>
      <c r="B261" s="45" t="s">
        <v>119</v>
      </c>
      <c r="C261" s="44" t="s">
        <v>190</v>
      </c>
      <c r="D261" s="50">
        <v>100</v>
      </c>
      <c r="E261" s="95">
        <v>100</v>
      </c>
      <c r="F261" s="95">
        <v>100</v>
      </c>
      <c r="G261" s="95">
        <v>100</v>
      </c>
      <c r="H261" s="113">
        <f>G261/F261</f>
        <v>1</v>
      </c>
      <c r="I261" s="108">
        <f t="shared" si="9"/>
        <v>1.6502586128523495E-06</v>
      </c>
    </row>
    <row r="262" spans="1:9" ht="12.75">
      <c r="A262" s="114">
        <f t="shared" si="8"/>
        <v>204</v>
      </c>
      <c r="B262" s="42" t="s">
        <v>126</v>
      </c>
      <c r="C262" s="7" t="s">
        <v>51</v>
      </c>
      <c r="D262" s="27"/>
      <c r="E262" s="94"/>
      <c r="F262" s="94"/>
      <c r="G262" s="94"/>
      <c r="H262" s="113"/>
      <c r="I262" s="108">
        <f t="shared" si="9"/>
        <v>0</v>
      </c>
    </row>
    <row r="263" spans="1:9" ht="12.75">
      <c r="A263" s="114">
        <f t="shared" si="8"/>
        <v>205</v>
      </c>
      <c r="B263" s="42"/>
      <c r="C263" s="43" t="s">
        <v>112</v>
      </c>
      <c r="D263" s="27"/>
      <c r="E263" s="94"/>
      <c r="F263" s="94"/>
      <c r="G263" s="94"/>
      <c r="H263" s="113"/>
      <c r="I263" s="108">
        <f t="shared" si="9"/>
        <v>0</v>
      </c>
    </row>
    <row r="264" spans="1:9" ht="12.75">
      <c r="A264" s="114">
        <f t="shared" si="8"/>
        <v>206</v>
      </c>
      <c r="B264" s="42"/>
      <c r="C264" s="7" t="s">
        <v>113</v>
      </c>
      <c r="D264" s="27"/>
      <c r="E264" s="94"/>
      <c r="F264" s="94"/>
      <c r="G264" s="94"/>
      <c r="H264" s="113"/>
      <c r="I264" s="108">
        <f t="shared" si="9"/>
        <v>0</v>
      </c>
    </row>
    <row r="265" spans="1:9" ht="12.75">
      <c r="A265" s="114">
        <f t="shared" si="8"/>
        <v>207</v>
      </c>
      <c r="B265" s="42"/>
      <c r="C265" s="7" t="s">
        <v>114</v>
      </c>
      <c r="D265" s="27">
        <f>SUM(D267:D268)</f>
        <v>13400</v>
      </c>
      <c r="E265" s="94">
        <f>SUM(E267:E268)</f>
        <v>20300</v>
      </c>
      <c r="F265" s="94">
        <f>SUM(F267:F268)</f>
        <v>20300</v>
      </c>
      <c r="G265" s="94">
        <f>SUM(G267:G268)</f>
        <v>17300</v>
      </c>
      <c r="H265" s="113">
        <f>G265/F265</f>
        <v>0.8522167487684729</v>
      </c>
      <c r="I265" s="108">
        <f t="shared" si="9"/>
        <v>0.00028549474002345643</v>
      </c>
    </row>
    <row r="266" spans="1:9" ht="12.75">
      <c r="A266" s="114">
        <f t="shared" si="8"/>
        <v>208</v>
      </c>
      <c r="B266" s="7"/>
      <c r="C266" s="7" t="s">
        <v>8</v>
      </c>
      <c r="D266" s="27"/>
      <c r="E266" s="94"/>
      <c r="F266" s="94"/>
      <c r="G266" s="94"/>
      <c r="H266" s="113"/>
      <c r="I266" s="108">
        <f t="shared" si="9"/>
        <v>0</v>
      </c>
    </row>
    <row r="267" spans="1:9" ht="12.75">
      <c r="A267" s="114">
        <f t="shared" si="8"/>
        <v>209</v>
      </c>
      <c r="B267" s="7"/>
      <c r="C267" s="7" t="s">
        <v>74</v>
      </c>
      <c r="D267" s="27">
        <v>6300</v>
      </c>
      <c r="E267" s="94">
        <v>8000</v>
      </c>
      <c r="F267" s="94">
        <v>8000</v>
      </c>
      <c r="G267" s="94">
        <v>5000</v>
      </c>
      <c r="H267" s="113">
        <f>G267/F267</f>
        <v>0.625</v>
      </c>
      <c r="I267" s="108">
        <f t="shared" si="9"/>
        <v>8.251293064261747E-05</v>
      </c>
    </row>
    <row r="268" spans="1:9" ht="12.75">
      <c r="A268" s="114">
        <f t="shared" si="8"/>
        <v>210</v>
      </c>
      <c r="B268" s="7"/>
      <c r="C268" s="7" t="s">
        <v>75</v>
      </c>
      <c r="D268" s="27">
        <v>7100</v>
      </c>
      <c r="E268" s="94">
        <v>12300</v>
      </c>
      <c r="F268" s="94">
        <v>12300</v>
      </c>
      <c r="G268" s="94">
        <v>12300</v>
      </c>
      <c r="H268" s="113">
        <f>G268/F268</f>
        <v>1</v>
      </c>
      <c r="I268" s="108">
        <f t="shared" si="9"/>
        <v>0.000202981809380839</v>
      </c>
    </row>
    <row r="269" spans="1:9" ht="12.75">
      <c r="A269" s="114">
        <f t="shared" si="8"/>
        <v>211</v>
      </c>
      <c r="B269" s="42" t="s">
        <v>129</v>
      </c>
      <c r="C269" s="7" t="s">
        <v>10</v>
      </c>
      <c r="D269" s="27">
        <f>SUM(D271:D272)</f>
        <v>115800</v>
      </c>
      <c r="E269" s="94">
        <f>SUM(E271:E272)</f>
        <v>133560</v>
      </c>
      <c r="F269" s="94">
        <f>SUM(F271:F272)</f>
        <v>133700</v>
      </c>
      <c r="G269" s="94">
        <f>SUM(G271:G272)</f>
        <v>5200</v>
      </c>
      <c r="H269" s="113">
        <f>G269/F269</f>
        <v>0.03889304412864622</v>
      </c>
      <c r="I269" s="108">
        <f t="shared" si="9"/>
        <v>8.581344786832217E-05</v>
      </c>
    </row>
    <row r="270" spans="1:9" ht="12.75">
      <c r="A270" s="114">
        <f t="shared" si="8"/>
        <v>212</v>
      </c>
      <c r="B270" s="42"/>
      <c r="C270" s="7" t="s">
        <v>8</v>
      </c>
      <c r="D270" s="27"/>
      <c r="E270" s="94"/>
      <c r="F270" s="94"/>
      <c r="G270" s="94"/>
      <c r="H270" s="113"/>
      <c r="I270" s="108">
        <f t="shared" si="9"/>
        <v>0</v>
      </c>
    </row>
    <row r="271" spans="1:9" ht="12.75">
      <c r="A271" s="114">
        <f t="shared" si="8"/>
        <v>213</v>
      </c>
      <c r="B271" s="42"/>
      <c r="C271" s="7" t="s">
        <v>74</v>
      </c>
      <c r="D271" s="27">
        <v>77100</v>
      </c>
      <c r="E271" s="94">
        <v>101700</v>
      </c>
      <c r="F271" s="94">
        <v>101700</v>
      </c>
      <c r="G271" s="94">
        <v>5200</v>
      </c>
      <c r="H271" s="113">
        <f>G271/F271</f>
        <v>0.051130776794493606</v>
      </c>
      <c r="I271" s="108">
        <f t="shared" si="9"/>
        <v>8.581344786832217E-05</v>
      </c>
    </row>
    <row r="272" spans="1:9" ht="12.75">
      <c r="A272" s="114">
        <f t="shared" si="8"/>
        <v>214</v>
      </c>
      <c r="B272" s="42"/>
      <c r="C272" s="7" t="s">
        <v>75</v>
      </c>
      <c r="D272" s="27">
        <v>38700</v>
      </c>
      <c r="E272" s="94">
        <v>31860</v>
      </c>
      <c r="F272" s="94">
        <v>32000</v>
      </c>
      <c r="G272" s="94">
        <v>0</v>
      </c>
      <c r="H272" s="113">
        <f>G272/F272</f>
        <v>0</v>
      </c>
      <c r="I272" s="108">
        <f t="shared" si="9"/>
        <v>0</v>
      </c>
    </row>
    <row r="273" spans="1:9" ht="12.75">
      <c r="A273" s="114"/>
      <c r="B273" s="42"/>
      <c r="C273" s="7"/>
      <c r="D273" s="27"/>
      <c r="E273" s="94"/>
      <c r="F273" s="94"/>
      <c r="G273" s="94"/>
      <c r="H273" s="113"/>
      <c r="I273" s="108"/>
    </row>
    <row r="274" spans="1:9" ht="12.75">
      <c r="A274" s="114">
        <f>A272+1</f>
        <v>215</v>
      </c>
      <c r="B274" s="42" t="s">
        <v>130</v>
      </c>
      <c r="C274" s="7" t="s">
        <v>63</v>
      </c>
      <c r="D274" s="27">
        <v>1000</v>
      </c>
      <c r="E274" s="94">
        <f>SUM(E276:E277)</f>
        <v>600</v>
      </c>
      <c r="F274" s="94">
        <f>SUM(F276:F277)</f>
        <v>821</v>
      </c>
      <c r="G274" s="94">
        <f>SUM(G276:G277)</f>
        <v>800</v>
      </c>
      <c r="H274" s="113">
        <f>G274/F274</f>
        <v>0.97442143727162</v>
      </c>
      <c r="I274" s="108">
        <f t="shared" si="9"/>
        <v>1.3202068902818796E-05</v>
      </c>
    </row>
    <row r="275" spans="1:9" ht="12.75">
      <c r="A275" s="114">
        <f t="shared" si="8"/>
        <v>216</v>
      </c>
      <c r="B275" s="42"/>
      <c r="C275" s="7" t="s">
        <v>8</v>
      </c>
      <c r="D275" s="27"/>
      <c r="E275" s="94"/>
      <c r="F275" s="94"/>
      <c r="G275" s="94"/>
      <c r="H275" s="113"/>
      <c r="I275" s="108">
        <f t="shared" si="9"/>
        <v>0</v>
      </c>
    </row>
    <row r="276" spans="1:9" ht="12.75">
      <c r="A276" s="114">
        <f t="shared" si="8"/>
        <v>217</v>
      </c>
      <c r="B276" s="42"/>
      <c r="C276" s="7" t="s">
        <v>74</v>
      </c>
      <c r="D276" s="27"/>
      <c r="E276" s="94">
        <v>600</v>
      </c>
      <c r="F276" s="94">
        <v>711</v>
      </c>
      <c r="G276" s="94">
        <v>800</v>
      </c>
      <c r="H276" s="113"/>
      <c r="I276" s="108">
        <f t="shared" si="9"/>
        <v>1.3202068902818796E-05</v>
      </c>
    </row>
    <row r="277" spans="1:9" ht="12.75">
      <c r="A277" s="114">
        <f t="shared" si="8"/>
        <v>218</v>
      </c>
      <c r="B277" s="42"/>
      <c r="C277" s="7" t="s">
        <v>75</v>
      </c>
      <c r="D277" s="27"/>
      <c r="E277" s="94">
        <v>0</v>
      </c>
      <c r="F277" s="94">
        <v>110</v>
      </c>
      <c r="G277" s="94">
        <v>0</v>
      </c>
      <c r="H277" s="113"/>
      <c r="I277" s="108">
        <f t="shared" si="9"/>
        <v>0</v>
      </c>
    </row>
    <row r="278" spans="1:9" ht="12.75">
      <c r="A278" s="114">
        <f t="shared" si="8"/>
        <v>219</v>
      </c>
      <c r="B278" s="42" t="s">
        <v>145</v>
      </c>
      <c r="C278" s="7" t="s">
        <v>182</v>
      </c>
      <c r="D278" s="27"/>
      <c r="E278" s="94">
        <v>0</v>
      </c>
      <c r="F278" s="94">
        <v>0</v>
      </c>
      <c r="G278" s="94">
        <v>0</v>
      </c>
      <c r="H278" s="113"/>
      <c r="I278" s="108">
        <f t="shared" si="9"/>
        <v>0</v>
      </c>
    </row>
    <row r="279" spans="1:9" ht="12.75">
      <c r="A279" s="114">
        <f t="shared" si="8"/>
        <v>220</v>
      </c>
      <c r="B279" s="42" t="s">
        <v>122</v>
      </c>
      <c r="C279" s="7" t="s">
        <v>48</v>
      </c>
      <c r="D279" s="27">
        <v>0</v>
      </c>
      <c r="E279" s="94">
        <f>SUM(E281:E282)</f>
        <v>600</v>
      </c>
      <c r="F279" s="94">
        <f>SUM(F281:F282)</f>
        <v>1976</v>
      </c>
      <c r="G279" s="94">
        <f>SUM(G281:G282)</f>
        <v>600</v>
      </c>
      <c r="H279" s="113">
        <f>G279/F279</f>
        <v>0.30364372469635625</v>
      </c>
      <c r="I279" s="108">
        <f t="shared" si="9"/>
        <v>9.901551677114097E-06</v>
      </c>
    </row>
    <row r="280" spans="1:9" ht="12.75">
      <c r="A280" s="114">
        <f t="shared" si="8"/>
        <v>221</v>
      </c>
      <c r="B280" s="42"/>
      <c r="C280" s="7" t="s">
        <v>8</v>
      </c>
      <c r="D280" s="27"/>
      <c r="E280" s="94"/>
      <c r="F280" s="94"/>
      <c r="G280" s="94"/>
      <c r="H280" s="113"/>
      <c r="I280" s="108">
        <f t="shared" si="9"/>
        <v>0</v>
      </c>
    </row>
    <row r="281" spans="1:9" ht="12.75">
      <c r="A281" s="114">
        <f t="shared" si="8"/>
        <v>222</v>
      </c>
      <c r="B281" s="42"/>
      <c r="C281" s="7" t="s">
        <v>74</v>
      </c>
      <c r="D281" s="27"/>
      <c r="E281" s="94">
        <v>500</v>
      </c>
      <c r="F281" s="94">
        <v>1885</v>
      </c>
      <c r="G281" s="94">
        <v>500</v>
      </c>
      <c r="H281" s="113">
        <f>G281/F281</f>
        <v>0.26525198938992045</v>
      </c>
      <c r="I281" s="108">
        <f t="shared" si="9"/>
        <v>8.251293064261746E-06</v>
      </c>
    </row>
    <row r="282" spans="1:9" ht="12.75">
      <c r="A282" s="114">
        <f t="shared" si="8"/>
        <v>223</v>
      </c>
      <c r="B282" s="42"/>
      <c r="C282" s="7" t="s">
        <v>75</v>
      </c>
      <c r="D282" s="27"/>
      <c r="E282" s="94">
        <v>100</v>
      </c>
      <c r="F282" s="94">
        <v>91</v>
      </c>
      <c r="G282" s="94">
        <v>100</v>
      </c>
      <c r="H282" s="113">
        <f>G282/F282</f>
        <v>1.098901098901099</v>
      </c>
      <c r="I282" s="108">
        <f t="shared" si="9"/>
        <v>1.6502586128523495E-06</v>
      </c>
    </row>
    <row r="283" spans="1:9" ht="12.75">
      <c r="A283" s="114">
        <f t="shared" si="8"/>
        <v>224</v>
      </c>
      <c r="B283" s="45">
        <v>2030</v>
      </c>
      <c r="C283" s="44" t="s">
        <v>71</v>
      </c>
      <c r="D283" s="27"/>
      <c r="E283" s="94"/>
      <c r="F283" s="94"/>
      <c r="G283" s="94"/>
      <c r="H283" s="113"/>
      <c r="I283" s="108">
        <f t="shared" si="9"/>
        <v>0</v>
      </c>
    </row>
    <row r="284" spans="1:9" ht="12.75">
      <c r="A284" s="114">
        <f t="shared" si="8"/>
        <v>225</v>
      </c>
      <c r="B284" s="45"/>
      <c r="C284" s="44" t="s">
        <v>147</v>
      </c>
      <c r="D284" s="27"/>
      <c r="E284" s="94"/>
      <c r="F284" s="94"/>
      <c r="G284" s="94"/>
      <c r="H284" s="113"/>
      <c r="I284" s="108">
        <f t="shared" si="9"/>
        <v>0</v>
      </c>
    </row>
    <row r="285" spans="1:9" ht="12.75">
      <c r="A285" s="114">
        <f t="shared" si="8"/>
        <v>226</v>
      </c>
      <c r="B285" s="45"/>
      <c r="C285" s="44" t="s">
        <v>213</v>
      </c>
      <c r="D285" s="27"/>
      <c r="E285" s="94">
        <v>17802</v>
      </c>
      <c r="F285" s="94">
        <v>17802</v>
      </c>
      <c r="G285" s="94">
        <v>0</v>
      </c>
      <c r="H285" s="113">
        <f>G285/F285</f>
        <v>0</v>
      </c>
      <c r="I285" s="108">
        <f t="shared" si="9"/>
        <v>0</v>
      </c>
    </row>
    <row r="286" spans="1:9" ht="12.75">
      <c r="A286" s="114">
        <f t="shared" si="8"/>
        <v>227</v>
      </c>
      <c r="B286" s="45">
        <v>2707</v>
      </c>
      <c r="C286" s="44" t="s">
        <v>202</v>
      </c>
      <c r="D286" s="27"/>
      <c r="E286" s="94"/>
      <c r="F286" s="94"/>
      <c r="G286" s="94"/>
      <c r="H286" s="113"/>
      <c r="I286" s="108">
        <f t="shared" si="9"/>
        <v>0</v>
      </c>
    </row>
    <row r="287" spans="1:9" ht="12.75">
      <c r="A287" s="114">
        <f t="shared" si="8"/>
        <v>228</v>
      </c>
      <c r="B287" s="45"/>
      <c r="C287" s="44" t="s">
        <v>203</v>
      </c>
      <c r="D287" s="27"/>
      <c r="E287" s="94">
        <v>4926</v>
      </c>
      <c r="F287" s="94">
        <v>4926</v>
      </c>
      <c r="G287" s="94">
        <v>0</v>
      </c>
      <c r="H287" s="113">
        <f>G287/F287</f>
        <v>0</v>
      </c>
      <c r="I287" s="108">
        <f t="shared" si="9"/>
        <v>0</v>
      </c>
    </row>
    <row r="288" spans="1:9" ht="12.75">
      <c r="A288" s="114">
        <f t="shared" si="8"/>
        <v>229</v>
      </c>
      <c r="B288" s="18">
        <v>80104</v>
      </c>
      <c r="C288" s="15" t="s">
        <v>95</v>
      </c>
      <c r="D288" s="27"/>
      <c r="E288" s="90">
        <f>SUM(E289:E296)</f>
        <v>312620</v>
      </c>
      <c r="F288" s="90">
        <f>SUM(F289:F296)</f>
        <v>312092</v>
      </c>
      <c r="G288" s="90">
        <f>SUM(G289:G296)</f>
        <v>283550</v>
      </c>
      <c r="H288" s="113">
        <f>G288/F288</f>
        <v>0.9085461979159991</v>
      </c>
      <c r="I288" s="108">
        <f t="shared" si="9"/>
        <v>0.004679308296742837</v>
      </c>
    </row>
    <row r="289" spans="1:9" ht="12.75">
      <c r="A289" s="114">
        <f t="shared" si="8"/>
        <v>230</v>
      </c>
      <c r="B289" s="42" t="s">
        <v>119</v>
      </c>
      <c r="C289" s="7" t="s">
        <v>52</v>
      </c>
      <c r="D289" s="27"/>
      <c r="E289" s="94">
        <v>148000</v>
      </c>
      <c r="F289" s="94">
        <v>148000</v>
      </c>
      <c r="G289" s="94">
        <v>154000</v>
      </c>
      <c r="H289" s="113">
        <f>G289/F289</f>
        <v>1.0405405405405406</v>
      </c>
      <c r="I289" s="108">
        <f t="shared" si="9"/>
        <v>0.0025413982637926182</v>
      </c>
    </row>
    <row r="290" spans="1:9" ht="12.75">
      <c r="A290" s="114">
        <f t="shared" si="8"/>
        <v>231</v>
      </c>
      <c r="B290" s="42" t="s">
        <v>126</v>
      </c>
      <c r="C290" s="7" t="s">
        <v>51</v>
      </c>
      <c r="D290" s="27"/>
      <c r="E290" s="94"/>
      <c r="F290" s="94"/>
      <c r="G290" s="94"/>
      <c r="H290" s="113"/>
      <c r="I290" s="108">
        <f t="shared" si="9"/>
        <v>0</v>
      </c>
    </row>
    <row r="291" spans="1:9" ht="12.75">
      <c r="A291" s="114">
        <f t="shared" si="8"/>
        <v>232</v>
      </c>
      <c r="B291" s="42"/>
      <c r="C291" s="43" t="s">
        <v>112</v>
      </c>
      <c r="D291" s="27"/>
      <c r="E291" s="94"/>
      <c r="F291" s="94"/>
      <c r="G291" s="94"/>
      <c r="H291" s="113"/>
      <c r="I291" s="108">
        <f t="shared" si="9"/>
        <v>0</v>
      </c>
    </row>
    <row r="292" spans="1:9" ht="12.75">
      <c r="A292" s="114">
        <f t="shared" si="8"/>
        <v>233</v>
      </c>
      <c r="B292" s="42"/>
      <c r="C292" s="7" t="s">
        <v>113</v>
      </c>
      <c r="D292" s="27"/>
      <c r="E292" s="94"/>
      <c r="F292" s="94"/>
      <c r="G292" s="94"/>
      <c r="H292" s="113"/>
      <c r="I292" s="108">
        <f t="shared" si="9"/>
        <v>0</v>
      </c>
    </row>
    <row r="293" spans="1:9" ht="12.75">
      <c r="A293" s="114">
        <f t="shared" si="8"/>
        <v>234</v>
      </c>
      <c r="B293" s="42"/>
      <c r="C293" s="7" t="s">
        <v>116</v>
      </c>
      <c r="D293" s="27"/>
      <c r="E293" s="94">
        <v>40200</v>
      </c>
      <c r="F293" s="94">
        <v>40200</v>
      </c>
      <c r="G293" s="94">
        <v>0</v>
      </c>
      <c r="H293" s="113">
        <f aca="true" t="shared" si="10" ref="H293:H298">G293/F293</f>
        <v>0</v>
      </c>
      <c r="I293" s="108">
        <f t="shared" si="9"/>
        <v>0</v>
      </c>
    </row>
    <row r="294" spans="1:9" ht="12.75">
      <c r="A294" s="114">
        <f t="shared" si="8"/>
        <v>235</v>
      </c>
      <c r="B294" s="42" t="s">
        <v>129</v>
      </c>
      <c r="C294" s="7" t="s">
        <v>10</v>
      </c>
      <c r="D294" s="27"/>
      <c r="E294" s="94">
        <v>123680</v>
      </c>
      <c r="F294" s="94">
        <v>123680</v>
      </c>
      <c r="G294" s="94">
        <v>128800</v>
      </c>
      <c r="H294" s="113">
        <f t="shared" si="10"/>
        <v>1.0413971539456663</v>
      </c>
      <c r="I294" s="108">
        <f t="shared" si="9"/>
        <v>0.002125533093353826</v>
      </c>
    </row>
    <row r="295" spans="1:9" ht="12.75">
      <c r="A295" s="114">
        <f t="shared" si="8"/>
        <v>236</v>
      </c>
      <c r="B295" s="42" t="s">
        <v>130</v>
      </c>
      <c r="C295" s="7" t="s">
        <v>63</v>
      </c>
      <c r="D295" s="27"/>
      <c r="E295" s="94">
        <v>600</v>
      </c>
      <c r="F295" s="94">
        <v>200</v>
      </c>
      <c r="G295" s="94">
        <v>600</v>
      </c>
      <c r="H295" s="113">
        <f t="shared" si="10"/>
        <v>3</v>
      </c>
      <c r="I295" s="108">
        <f t="shared" si="9"/>
        <v>9.901551677114097E-06</v>
      </c>
    </row>
    <row r="296" spans="1:9" ht="12.75">
      <c r="A296" s="114">
        <f t="shared" si="8"/>
        <v>237</v>
      </c>
      <c r="B296" s="42" t="s">
        <v>122</v>
      </c>
      <c r="C296" s="7" t="s">
        <v>48</v>
      </c>
      <c r="D296" s="27"/>
      <c r="E296" s="94">
        <v>140</v>
      </c>
      <c r="F296" s="94">
        <v>12</v>
      </c>
      <c r="G296" s="94">
        <v>150</v>
      </c>
      <c r="H296" s="113">
        <f t="shared" si="10"/>
        <v>12.5</v>
      </c>
      <c r="I296" s="108">
        <f t="shared" si="9"/>
        <v>2.4753879192785243E-06</v>
      </c>
    </row>
    <row r="297" spans="1:9" s="3" customFormat="1" ht="12.75">
      <c r="A297" s="114">
        <f t="shared" si="8"/>
        <v>238</v>
      </c>
      <c r="B297" s="18">
        <v>80110</v>
      </c>
      <c r="C297" s="15" t="s">
        <v>13</v>
      </c>
      <c r="D297" s="21">
        <f>SUM(D302:D303)</f>
        <v>109300</v>
      </c>
      <c r="E297" s="93">
        <f>SUM(E298:E305)</f>
        <v>96470</v>
      </c>
      <c r="F297" s="93">
        <f>SUM(F298:F305)</f>
        <v>96908</v>
      </c>
      <c r="G297" s="93">
        <f>SUM(G298:G305)</f>
        <v>6400</v>
      </c>
      <c r="H297" s="113">
        <f t="shared" si="10"/>
        <v>0.0660420192347381</v>
      </c>
      <c r="I297" s="108">
        <f t="shared" si="9"/>
        <v>0.00010561655122255037</v>
      </c>
    </row>
    <row r="298" spans="1:9" s="51" customFormat="1" ht="12.75">
      <c r="A298" s="114">
        <f t="shared" si="8"/>
        <v>239</v>
      </c>
      <c r="B298" s="45" t="s">
        <v>119</v>
      </c>
      <c r="C298" s="44" t="s">
        <v>52</v>
      </c>
      <c r="D298" s="50"/>
      <c r="E298" s="95">
        <v>50</v>
      </c>
      <c r="F298" s="95">
        <v>58</v>
      </c>
      <c r="G298" s="95">
        <v>50</v>
      </c>
      <c r="H298" s="113">
        <f t="shared" si="10"/>
        <v>0.8620689655172413</v>
      </c>
      <c r="I298" s="108">
        <f t="shared" si="9"/>
        <v>8.251293064261747E-07</v>
      </c>
    </row>
    <row r="299" spans="1:9" ht="12.75">
      <c r="A299" s="114">
        <f t="shared" si="8"/>
        <v>240</v>
      </c>
      <c r="B299" s="42" t="s">
        <v>126</v>
      </c>
      <c r="C299" s="7" t="s">
        <v>51</v>
      </c>
      <c r="D299" s="27"/>
      <c r="E299" s="94"/>
      <c r="F299" s="94"/>
      <c r="G299" s="94"/>
      <c r="H299" s="113"/>
      <c r="I299" s="108">
        <f t="shared" si="9"/>
        <v>0</v>
      </c>
    </row>
    <row r="300" spans="1:9" ht="12.75">
      <c r="A300" s="114">
        <f t="shared" si="8"/>
        <v>241</v>
      </c>
      <c r="B300" s="42"/>
      <c r="C300" s="43" t="s">
        <v>112</v>
      </c>
      <c r="D300" s="27"/>
      <c r="E300" s="94"/>
      <c r="F300" s="94"/>
      <c r="G300" s="94"/>
      <c r="H300" s="113"/>
      <c r="I300" s="108">
        <f t="shared" si="9"/>
        <v>0</v>
      </c>
    </row>
    <row r="301" spans="1:9" ht="12.75">
      <c r="A301" s="114">
        <f t="shared" si="8"/>
        <v>242</v>
      </c>
      <c r="B301" s="42"/>
      <c r="C301" s="7" t="s">
        <v>113</v>
      </c>
      <c r="D301" s="27"/>
      <c r="E301" s="94"/>
      <c r="F301" s="94"/>
      <c r="G301" s="94"/>
      <c r="H301" s="113"/>
      <c r="I301" s="108">
        <f t="shared" si="9"/>
        <v>0</v>
      </c>
    </row>
    <row r="302" spans="1:9" ht="12.75">
      <c r="A302" s="114">
        <f t="shared" si="8"/>
        <v>243</v>
      </c>
      <c r="B302" s="42"/>
      <c r="C302" s="7" t="s">
        <v>114</v>
      </c>
      <c r="D302" s="27">
        <v>9400</v>
      </c>
      <c r="E302" s="94">
        <v>11000</v>
      </c>
      <c r="F302" s="94">
        <v>10800</v>
      </c>
      <c r="G302" s="94">
        <v>5600</v>
      </c>
      <c r="H302" s="113">
        <f>G302/F302</f>
        <v>0.5185185185185185</v>
      </c>
      <c r="I302" s="108">
        <f t="shared" si="9"/>
        <v>9.241448231973157E-05</v>
      </c>
    </row>
    <row r="303" spans="1:9" ht="12.75">
      <c r="A303" s="114">
        <f t="shared" si="8"/>
        <v>244</v>
      </c>
      <c r="B303" s="42" t="s">
        <v>129</v>
      </c>
      <c r="C303" s="7" t="s">
        <v>10</v>
      </c>
      <c r="D303" s="27">
        <v>99900</v>
      </c>
      <c r="E303" s="94">
        <v>85100</v>
      </c>
      <c r="F303" s="94">
        <v>85100</v>
      </c>
      <c r="G303" s="94">
        <v>300</v>
      </c>
      <c r="H303" s="113">
        <f>G303/F303</f>
        <v>0.0035252643948296123</v>
      </c>
      <c r="I303" s="108">
        <f t="shared" si="9"/>
        <v>4.950775838557049E-06</v>
      </c>
    </row>
    <row r="304" spans="1:9" ht="12.75">
      <c r="A304" s="114">
        <f t="shared" si="8"/>
        <v>245</v>
      </c>
      <c r="B304" s="42" t="s">
        <v>130</v>
      </c>
      <c r="C304" s="7" t="s">
        <v>63</v>
      </c>
      <c r="D304" s="27"/>
      <c r="E304" s="94">
        <v>150</v>
      </c>
      <c r="F304" s="94">
        <v>450</v>
      </c>
      <c r="G304" s="94">
        <v>250</v>
      </c>
      <c r="H304" s="113">
        <f>G304/F304</f>
        <v>0.5555555555555556</v>
      </c>
      <c r="I304" s="108">
        <f t="shared" si="9"/>
        <v>4.125646532130873E-06</v>
      </c>
    </row>
    <row r="305" spans="1:9" ht="12.75">
      <c r="A305" s="114">
        <f t="shared" si="8"/>
        <v>246</v>
      </c>
      <c r="B305" s="42" t="s">
        <v>122</v>
      </c>
      <c r="C305" s="7" t="s">
        <v>48</v>
      </c>
      <c r="D305" s="27"/>
      <c r="E305" s="94">
        <v>170</v>
      </c>
      <c r="F305" s="94">
        <v>500</v>
      </c>
      <c r="G305" s="94">
        <v>200</v>
      </c>
      <c r="H305" s="113">
        <f>G305/F305</f>
        <v>0.4</v>
      </c>
      <c r="I305" s="108">
        <f t="shared" si="9"/>
        <v>3.300517225704699E-06</v>
      </c>
    </row>
    <row r="306" spans="1:9" ht="12.75">
      <c r="A306" s="114">
        <f t="shared" si="8"/>
        <v>247</v>
      </c>
      <c r="B306" s="137">
        <v>80148</v>
      </c>
      <c r="C306" s="15" t="s">
        <v>261</v>
      </c>
      <c r="D306" s="27"/>
      <c r="E306" s="93">
        <f>E307</f>
        <v>0</v>
      </c>
      <c r="F306" s="93">
        <f>F307</f>
        <v>0</v>
      </c>
      <c r="G306" s="93">
        <f>G307</f>
        <v>209240</v>
      </c>
      <c r="H306" s="113"/>
      <c r="I306" s="108">
        <f t="shared" si="9"/>
        <v>0.003453001121532256</v>
      </c>
    </row>
    <row r="307" spans="1:9" ht="12.75">
      <c r="A307" s="114">
        <f t="shared" si="8"/>
        <v>248</v>
      </c>
      <c r="B307" s="42" t="s">
        <v>129</v>
      </c>
      <c r="C307" s="7" t="s">
        <v>10</v>
      </c>
      <c r="D307" s="27"/>
      <c r="E307" s="94">
        <f>SUM(E309:E311)</f>
        <v>0</v>
      </c>
      <c r="F307" s="94">
        <f>SUM(F309:F311)</f>
        <v>0</v>
      </c>
      <c r="G307" s="94">
        <f>SUM(G309:G311)</f>
        <v>209240</v>
      </c>
      <c r="H307" s="113"/>
      <c r="I307" s="108">
        <f t="shared" si="9"/>
        <v>0.003453001121532256</v>
      </c>
    </row>
    <row r="308" spans="1:9" ht="12.75">
      <c r="A308" s="114">
        <f t="shared" si="8"/>
        <v>249</v>
      </c>
      <c r="B308" s="42"/>
      <c r="C308" s="7" t="s">
        <v>8</v>
      </c>
      <c r="D308" s="27"/>
      <c r="E308" s="94"/>
      <c r="F308" s="94"/>
      <c r="G308" s="94"/>
      <c r="H308" s="113"/>
      <c r="I308" s="108">
        <f t="shared" si="9"/>
        <v>0</v>
      </c>
    </row>
    <row r="309" spans="1:9" ht="12.75">
      <c r="A309" s="114">
        <f t="shared" si="8"/>
        <v>250</v>
      </c>
      <c r="B309" s="42"/>
      <c r="C309" s="7" t="s">
        <v>262</v>
      </c>
      <c r="D309" s="27"/>
      <c r="E309" s="94">
        <v>0</v>
      </c>
      <c r="F309" s="94">
        <v>0</v>
      </c>
      <c r="G309" s="94">
        <v>86600</v>
      </c>
      <c r="H309" s="113"/>
      <c r="I309" s="108">
        <f t="shared" si="9"/>
        <v>0.0014291239587301346</v>
      </c>
    </row>
    <row r="310" spans="1:9" ht="12.75">
      <c r="A310" s="114">
        <f t="shared" si="8"/>
        <v>251</v>
      </c>
      <c r="B310" s="42"/>
      <c r="C310" s="7" t="s">
        <v>263</v>
      </c>
      <c r="D310" s="27"/>
      <c r="E310" s="94">
        <v>0</v>
      </c>
      <c r="F310" s="94">
        <v>0</v>
      </c>
      <c r="G310" s="94">
        <v>33840</v>
      </c>
      <c r="H310" s="113"/>
      <c r="I310" s="108">
        <f t="shared" si="9"/>
        <v>0.000558447514589235</v>
      </c>
    </row>
    <row r="311" spans="1:9" ht="12.75">
      <c r="A311" s="114">
        <f t="shared" si="8"/>
        <v>252</v>
      </c>
      <c r="B311" s="42"/>
      <c r="C311" s="7" t="s">
        <v>264</v>
      </c>
      <c r="D311" s="27"/>
      <c r="E311" s="94">
        <v>0</v>
      </c>
      <c r="F311" s="94">
        <v>0</v>
      </c>
      <c r="G311" s="94">
        <v>88800</v>
      </c>
      <c r="H311" s="113"/>
      <c r="I311" s="108">
        <f t="shared" si="9"/>
        <v>0.0014654296482128862</v>
      </c>
    </row>
    <row r="312" spans="1:9" s="40" customFormat="1" ht="12.75">
      <c r="A312" s="114">
        <f t="shared" si="8"/>
        <v>253</v>
      </c>
      <c r="B312" s="41">
        <v>80195</v>
      </c>
      <c r="C312" s="38" t="s">
        <v>7</v>
      </c>
      <c r="D312" s="39"/>
      <c r="E312" s="90">
        <f>E313+E320+E335+E327</f>
        <v>254194.75</v>
      </c>
      <c r="F312" s="90">
        <f>F313+F320+F335+F327</f>
        <v>268179.75</v>
      </c>
      <c r="G312" s="90">
        <f>G313+G320+G335+G327</f>
        <v>1566050</v>
      </c>
      <c r="H312" s="113">
        <f>G312/F312</f>
        <v>5.839553508421124</v>
      </c>
      <c r="I312" s="108">
        <f t="shared" si="9"/>
        <v>0.02584387500657422</v>
      </c>
    </row>
    <row r="313" spans="1:9" s="40" customFormat="1" ht="12.75">
      <c r="A313" s="114">
        <f t="shared" si="8"/>
        <v>254</v>
      </c>
      <c r="B313" s="19" t="s">
        <v>122</v>
      </c>
      <c r="C313" s="11" t="s">
        <v>48</v>
      </c>
      <c r="D313" s="31"/>
      <c r="E313" s="96">
        <f>SUM(E316:E317)</f>
        <v>44505.75</v>
      </c>
      <c r="F313" s="96">
        <f>SUM(F316:F317)</f>
        <v>58490.75</v>
      </c>
      <c r="G313" s="96">
        <f>SUM(G316:G317)</f>
        <v>0</v>
      </c>
      <c r="H313" s="113">
        <f>G313/F313</f>
        <v>0</v>
      </c>
      <c r="I313" s="108">
        <f t="shared" si="9"/>
        <v>0</v>
      </c>
    </row>
    <row r="314" spans="1:9" s="40" customFormat="1" ht="12.75">
      <c r="A314" s="114">
        <f t="shared" si="8"/>
        <v>255</v>
      </c>
      <c r="B314" s="19"/>
      <c r="C314" s="120" t="s">
        <v>8</v>
      </c>
      <c r="D314" s="122"/>
      <c r="E314" s="121"/>
      <c r="F314" s="121"/>
      <c r="G314" s="121"/>
      <c r="H314" s="113"/>
      <c r="I314" s="108">
        <f t="shared" si="9"/>
        <v>0</v>
      </c>
    </row>
    <row r="315" spans="1:9" s="40" customFormat="1" ht="12.75">
      <c r="A315" s="114">
        <f t="shared" si="8"/>
        <v>256</v>
      </c>
      <c r="B315" s="19"/>
      <c r="C315" s="120" t="s">
        <v>214</v>
      </c>
      <c r="D315" s="122"/>
      <c r="E315" s="121"/>
      <c r="F315" s="121"/>
      <c r="G315" s="121"/>
      <c r="H315" s="113"/>
      <c r="I315" s="108">
        <f t="shared" si="9"/>
        <v>0</v>
      </c>
    </row>
    <row r="316" spans="1:9" s="40" customFormat="1" ht="12.75">
      <c r="A316" s="114">
        <f t="shared" si="8"/>
        <v>257</v>
      </c>
      <c r="B316" s="19"/>
      <c r="C316" s="120" t="s">
        <v>215</v>
      </c>
      <c r="D316" s="122"/>
      <c r="E316" s="121">
        <v>16905.75</v>
      </c>
      <c r="F316" s="121">
        <v>16905.75</v>
      </c>
      <c r="G316" s="121">
        <v>0</v>
      </c>
      <c r="H316" s="113">
        <f>G316/F316</f>
        <v>0</v>
      </c>
      <c r="I316" s="108">
        <f t="shared" si="9"/>
        <v>0</v>
      </c>
    </row>
    <row r="317" spans="1:9" s="40" customFormat="1" ht="12.75">
      <c r="A317" s="114">
        <f aca="true" t="shared" si="11" ref="A317:A382">A316+1</f>
        <v>258</v>
      </c>
      <c r="B317" s="19"/>
      <c r="C317" s="120" t="s">
        <v>216</v>
      </c>
      <c r="D317" s="122"/>
      <c r="E317" s="121">
        <v>27600</v>
      </c>
      <c r="F317" s="121">
        <v>41585</v>
      </c>
      <c r="G317" s="121">
        <v>0</v>
      </c>
      <c r="H317" s="113">
        <f>G317/F317</f>
        <v>0</v>
      </c>
      <c r="I317" s="108">
        <f t="shared" si="9"/>
        <v>0</v>
      </c>
    </row>
    <row r="318" spans="1:9" s="40" customFormat="1" ht="12.75">
      <c r="A318" s="114">
        <f t="shared" si="11"/>
        <v>259</v>
      </c>
      <c r="B318" s="45">
        <v>2030</v>
      </c>
      <c r="C318" s="44" t="s">
        <v>71</v>
      </c>
      <c r="D318" s="39"/>
      <c r="E318" s="90"/>
      <c r="F318" s="90"/>
      <c r="G318" s="90"/>
      <c r="H318" s="113"/>
      <c r="I318" s="108">
        <f t="shared" si="9"/>
        <v>0</v>
      </c>
    </row>
    <row r="319" spans="1:9" ht="12.75">
      <c r="A319" s="114">
        <f t="shared" si="11"/>
        <v>260</v>
      </c>
      <c r="B319" s="45"/>
      <c r="C319" s="44" t="s">
        <v>147</v>
      </c>
      <c r="D319" s="27"/>
      <c r="E319" s="94"/>
      <c r="F319" s="94"/>
      <c r="G319" s="94"/>
      <c r="H319" s="113"/>
      <c r="I319" s="108">
        <f t="shared" si="9"/>
        <v>0</v>
      </c>
    </row>
    <row r="320" spans="1:9" ht="12.75">
      <c r="A320" s="114">
        <f t="shared" si="11"/>
        <v>261</v>
      </c>
      <c r="B320" s="45"/>
      <c r="C320" s="44" t="s">
        <v>76</v>
      </c>
      <c r="D320" s="27"/>
      <c r="E320" s="94">
        <f>SUM(E322:E326)</f>
        <v>61670</v>
      </c>
      <c r="F320" s="94">
        <f>SUM(F322:F326)</f>
        <v>61670</v>
      </c>
      <c r="G320" s="94">
        <f>SUM(G322:G326)</f>
        <v>12000</v>
      </c>
      <c r="H320" s="113">
        <f>G320/F320</f>
        <v>0.19458407653640344</v>
      </c>
      <c r="I320" s="108">
        <f t="shared" si="9"/>
        <v>0.00019803103354228192</v>
      </c>
    </row>
    <row r="321" spans="1:9" ht="12.75">
      <c r="A321" s="114">
        <f t="shared" si="11"/>
        <v>262</v>
      </c>
      <c r="B321" s="45"/>
      <c r="C321" s="44" t="s">
        <v>8</v>
      </c>
      <c r="D321" s="27"/>
      <c r="E321" s="94"/>
      <c r="F321" s="94"/>
      <c r="G321" s="94"/>
      <c r="H321" s="113"/>
      <c r="I321" s="108">
        <f>G321/$G$433</f>
        <v>0</v>
      </c>
    </row>
    <row r="322" spans="1:9" ht="12.75">
      <c r="A322" s="114">
        <f t="shared" si="11"/>
        <v>263</v>
      </c>
      <c r="B322" s="45"/>
      <c r="C322" s="44" t="s">
        <v>217</v>
      </c>
      <c r="D322" s="27"/>
      <c r="E322" s="94">
        <v>0</v>
      </c>
      <c r="F322" s="94">
        <v>0</v>
      </c>
      <c r="G322" s="94">
        <v>0</v>
      </c>
      <c r="H322" s="113"/>
      <c r="I322" s="108">
        <f>G322/$G$433</f>
        <v>0</v>
      </c>
    </row>
    <row r="323" spans="1:9" ht="12.75">
      <c r="A323" s="114">
        <f t="shared" si="11"/>
        <v>264</v>
      </c>
      <c r="B323" s="45"/>
      <c r="C323" s="63" t="s">
        <v>276</v>
      </c>
      <c r="D323" s="27"/>
      <c r="E323" s="94">
        <v>920</v>
      </c>
      <c r="F323" s="94">
        <v>920</v>
      </c>
      <c r="G323" s="94">
        <v>0</v>
      </c>
      <c r="H323" s="113"/>
      <c r="I323" s="108">
        <f>G323/$G$433</f>
        <v>0</v>
      </c>
    </row>
    <row r="324" spans="1:9" ht="12.75">
      <c r="A324" s="114">
        <f t="shared" si="11"/>
        <v>265</v>
      </c>
      <c r="B324" s="45"/>
      <c r="C324" s="44" t="s">
        <v>218</v>
      </c>
      <c r="D324" s="27"/>
      <c r="E324" s="94"/>
      <c r="F324" s="94"/>
      <c r="G324" s="94"/>
      <c r="H324" s="113"/>
      <c r="I324" s="108">
        <f>G324/$G$433</f>
        <v>0</v>
      </c>
    </row>
    <row r="325" spans="1:9" ht="12.75">
      <c r="A325" s="114">
        <f t="shared" si="11"/>
        <v>266</v>
      </c>
      <c r="B325" s="45"/>
      <c r="C325" s="44" t="s">
        <v>219</v>
      </c>
      <c r="D325" s="27"/>
      <c r="E325" s="94"/>
      <c r="F325" s="94"/>
      <c r="G325" s="94"/>
      <c r="H325" s="113"/>
      <c r="I325" s="108">
        <f>G325/$G$433</f>
        <v>0</v>
      </c>
    </row>
    <row r="326" spans="1:9" ht="12.75">
      <c r="A326" s="114">
        <f t="shared" si="11"/>
        <v>267</v>
      </c>
      <c r="B326" s="45"/>
      <c r="C326" s="44" t="s">
        <v>220</v>
      </c>
      <c r="D326" s="27"/>
      <c r="E326" s="94">
        <f>40500+20250</f>
        <v>60750</v>
      </c>
      <c r="F326" s="94">
        <v>60750</v>
      </c>
      <c r="G326" s="94">
        <v>12000</v>
      </c>
      <c r="H326" s="113">
        <f>G326/F326</f>
        <v>0.19753086419753085</v>
      </c>
      <c r="I326" s="108">
        <f>G326/$G$433</f>
        <v>0.00019803103354228192</v>
      </c>
    </row>
    <row r="327" spans="1:9" ht="12.75">
      <c r="A327" s="114">
        <f t="shared" si="11"/>
        <v>268</v>
      </c>
      <c r="B327" s="45">
        <v>6200</v>
      </c>
      <c r="C327" s="44" t="s">
        <v>280</v>
      </c>
      <c r="D327" s="27"/>
      <c r="E327" s="94">
        <v>0</v>
      </c>
      <c r="F327" s="94">
        <v>0</v>
      </c>
      <c r="G327" s="94">
        <v>1554050</v>
      </c>
      <c r="H327" s="113"/>
      <c r="I327" s="108">
        <f>G327/$G$433</f>
        <v>0.025645843973031934</v>
      </c>
    </row>
    <row r="328" spans="1:9" ht="12.75">
      <c r="A328" s="114"/>
      <c r="B328" s="45"/>
      <c r="C328" s="44"/>
      <c r="D328" s="27"/>
      <c r="E328" s="94"/>
      <c r="F328" s="94"/>
      <c r="G328" s="94"/>
      <c r="H328" s="113"/>
      <c r="I328" s="108"/>
    </row>
    <row r="329" spans="1:9" ht="12.75">
      <c r="A329" s="114"/>
      <c r="B329" s="45"/>
      <c r="C329" s="44"/>
      <c r="D329" s="27"/>
      <c r="E329" s="94"/>
      <c r="F329" s="94"/>
      <c r="G329" s="94"/>
      <c r="H329" s="113"/>
      <c r="I329" s="108"/>
    </row>
    <row r="330" spans="1:9" ht="12.75">
      <c r="A330" s="114">
        <f>A327+1</f>
        <v>269</v>
      </c>
      <c r="B330" s="45">
        <v>6290</v>
      </c>
      <c r="C330" s="44" t="s">
        <v>267</v>
      </c>
      <c r="D330" s="27"/>
      <c r="E330" s="94"/>
      <c r="F330" s="94"/>
      <c r="G330" s="94"/>
      <c r="H330" s="113"/>
      <c r="I330" s="108">
        <f>G330/$G$433</f>
        <v>0</v>
      </c>
    </row>
    <row r="331" spans="1:9" ht="12.75">
      <c r="A331" s="114">
        <f t="shared" si="11"/>
        <v>270</v>
      </c>
      <c r="B331" s="45"/>
      <c r="C331" s="44" t="s">
        <v>268</v>
      </c>
      <c r="D331" s="27"/>
      <c r="E331" s="94"/>
      <c r="F331" s="94"/>
      <c r="G331" s="94"/>
      <c r="H331" s="113"/>
      <c r="I331" s="108">
        <f>G331/$G$433</f>
        <v>0</v>
      </c>
    </row>
    <row r="332" spans="1:9" ht="12.75">
      <c r="A332" s="114">
        <f t="shared" si="11"/>
        <v>271</v>
      </c>
      <c r="B332" s="45"/>
      <c r="C332" s="44" t="s">
        <v>269</v>
      </c>
      <c r="D332" s="27"/>
      <c r="E332" s="94"/>
      <c r="F332" s="94"/>
      <c r="G332" s="94"/>
      <c r="H332" s="113"/>
      <c r="I332" s="108">
        <f>G332/$G$433</f>
        <v>0</v>
      </c>
    </row>
    <row r="333" spans="1:9" ht="12.75">
      <c r="A333" s="114">
        <f t="shared" si="11"/>
        <v>272</v>
      </c>
      <c r="B333" s="45"/>
      <c r="C333" s="44" t="s">
        <v>270</v>
      </c>
      <c r="D333" s="27"/>
      <c r="E333" s="94"/>
      <c r="F333" s="94"/>
      <c r="G333" s="94"/>
      <c r="H333" s="113"/>
      <c r="I333" s="108">
        <f>G333/$G$433</f>
        <v>0</v>
      </c>
    </row>
    <row r="334" spans="1:9" ht="12.75">
      <c r="A334" s="114">
        <f t="shared" si="11"/>
        <v>273</v>
      </c>
      <c r="B334" s="45"/>
      <c r="C334" s="44" t="s">
        <v>271</v>
      </c>
      <c r="D334" s="27"/>
      <c r="E334" s="94"/>
      <c r="F334" s="94"/>
      <c r="G334" s="94"/>
      <c r="H334" s="113"/>
      <c r="I334" s="108">
        <f>G334/$G$433</f>
        <v>0</v>
      </c>
    </row>
    <row r="335" spans="1:9" ht="12.75">
      <c r="A335" s="114">
        <f t="shared" si="11"/>
        <v>274</v>
      </c>
      <c r="B335" s="45"/>
      <c r="C335" s="44" t="s">
        <v>272</v>
      </c>
      <c r="D335" s="27"/>
      <c r="E335" s="94">
        <v>148019</v>
      </c>
      <c r="F335" s="94">
        <v>148019</v>
      </c>
      <c r="G335" s="94">
        <v>0</v>
      </c>
      <c r="H335" s="113"/>
      <c r="I335" s="108">
        <f>G335/$G$433</f>
        <v>0</v>
      </c>
    </row>
    <row r="336" spans="1:9" s="36" customFormat="1" ht="15">
      <c r="A336" s="114">
        <f t="shared" si="11"/>
        <v>275</v>
      </c>
      <c r="B336" s="37">
        <v>852</v>
      </c>
      <c r="C336" s="34" t="s">
        <v>120</v>
      </c>
      <c r="D336" s="35"/>
      <c r="E336" s="86">
        <f>E340+E355+E361+E372+E379+E386+E370</f>
        <v>1809185</v>
      </c>
      <c r="F336" s="86">
        <f>F340+F355+F361+F372+F379+F386+F370</f>
        <v>1810451</v>
      </c>
      <c r="G336" s="86">
        <f>G340+G355+G361+G372+G379+G386+G370</f>
        <v>1647572</v>
      </c>
      <c r="H336" s="113">
        <f>G336/F336</f>
        <v>0.9100340191477151</v>
      </c>
      <c r="I336" s="108">
        <f>G336/$G$433</f>
        <v>0.027189198832943712</v>
      </c>
    </row>
    <row r="337" spans="1:9" s="40" customFormat="1" ht="12.75">
      <c r="A337" s="114">
        <f t="shared" si="11"/>
        <v>276</v>
      </c>
      <c r="B337" s="41">
        <v>85212</v>
      </c>
      <c r="C337" s="38" t="s">
        <v>193</v>
      </c>
      <c r="D337" s="39"/>
      <c r="E337" s="90"/>
      <c r="F337" s="90"/>
      <c r="G337" s="90"/>
      <c r="H337" s="113"/>
      <c r="I337" s="108">
        <f>G337/$G$433</f>
        <v>0</v>
      </c>
    </row>
    <row r="338" spans="1:9" s="40" customFormat="1" ht="12.75">
      <c r="A338" s="114">
        <f t="shared" si="11"/>
        <v>277</v>
      </c>
      <c r="B338" s="41"/>
      <c r="C338" s="38" t="s">
        <v>192</v>
      </c>
      <c r="D338" s="39"/>
      <c r="E338" s="90"/>
      <c r="F338" s="90"/>
      <c r="G338" s="90"/>
      <c r="H338" s="113"/>
      <c r="I338" s="108">
        <f>G338/$G$433</f>
        <v>0</v>
      </c>
    </row>
    <row r="339" spans="1:9" s="40" customFormat="1" ht="12.75">
      <c r="A339" s="114">
        <f t="shared" si="11"/>
        <v>278</v>
      </c>
      <c r="B339" s="62"/>
      <c r="C339" s="38" t="s">
        <v>153</v>
      </c>
      <c r="D339" s="39"/>
      <c r="E339" s="90"/>
      <c r="F339" s="90"/>
      <c r="G339" s="90"/>
      <c r="H339" s="113"/>
      <c r="I339" s="108">
        <f>G339/$G$433</f>
        <v>0</v>
      </c>
    </row>
    <row r="340" spans="1:9" s="40" customFormat="1" ht="12.75">
      <c r="A340" s="114">
        <f t="shared" si="11"/>
        <v>279</v>
      </c>
      <c r="B340" s="62"/>
      <c r="C340" s="38" t="s">
        <v>154</v>
      </c>
      <c r="D340" s="39"/>
      <c r="E340" s="90">
        <f>E344+E348+E352</f>
        <v>1274200</v>
      </c>
      <c r="F340" s="90">
        <f>F344+F348+F352</f>
        <v>1275197</v>
      </c>
      <c r="G340" s="90">
        <f>G344+G348+G352</f>
        <v>1126000</v>
      </c>
      <c r="H340" s="113">
        <f>G340/F340</f>
        <v>0.8830008226179955</v>
      </c>
      <c r="I340" s="108">
        <f>G340/$G$433</f>
        <v>0.018581911980717455</v>
      </c>
    </row>
    <row r="341" spans="1:9" s="40" customFormat="1" ht="12.75">
      <c r="A341" s="114">
        <f t="shared" si="11"/>
        <v>280</v>
      </c>
      <c r="B341" s="45">
        <v>2010</v>
      </c>
      <c r="C341" s="7" t="s">
        <v>71</v>
      </c>
      <c r="D341" s="39"/>
      <c r="E341" s="90"/>
      <c r="F341" s="90"/>
      <c r="G341" s="90"/>
      <c r="H341" s="113"/>
      <c r="I341" s="108">
        <f>G341/$G$433</f>
        <v>0</v>
      </c>
    </row>
    <row r="342" spans="1:9" s="40" customFormat="1" ht="12.75">
      <c r="A342" s="114">
        <f t="shared" si="11"/>
        <v>281</v>
      </c>
      <c r="B342" s="45"/>
      <c r="C342" s="7" t="s">
        <v>279</v>
      </c>
      <c r="D342" s="39"/>
      <c r="E342" s="90"/>
      <c r="F342" s="90"/>
      <c r="G342" s="90"/>
      <c r="H342" s="113"/>
      <c r="I342" s="108">
        <f>G342/$G$433</f>
        <v>0</v>
      </c>
    </row>
    <row r="343" spans="1:9" s="40" customFormat="1" ht="12.75">
      <c r="A343" s="114">
        <f t="shared" si="11"/>
        <v>282</v>
      </c>
      <c r="B343" s="45"/>
      <c r="C343" s="7" t="s">
        <v>78</v>
      </c>
      <c r="D343" s="39"/>
      <c r="E343" s="90"/>
      <c r="F343" s="90"/>
      <c r="G343" s="90"/>
      <c r="H343" s="113"/>
      <c r="I343" s="108">
        <f>G343/$G$433</f>
        <v>0</v>
      </c>
    </row>
    <row r="344" spans="1:9" s="40" customFormat="1" ht="12.75">
      <c r="A344" s="114">
        <f t="shared" si="11"/>
        <v>283</v>
      </c>
      <c r="B344" s="45"/>
      <c r="C344" s="7" t="s">
        <v>72</v>
      </c>
      <c r="D344" s="39"/>
      <c r="E344" s="96">
        <v>1273000</v>
      </c>
      <c r="F344" s="96">
        <v>1273000</v>
      </c>
      <c r="G344" s="96">
        <v>1126000</v>
      </c>
      <c r="H344" s="113">
        <f>G344/F344</f>
        <v>0.8845247446975648</v>
      </c>
      <c r="I344" s="108">
        <f>G344/$G$433</f>
        <v>0.018581911980717455</v>
      </c>
    </row>
    <row r="345" spans="1:9" s="40" customFormat="1" ht="12.75">
      <c r="A345" s="114">
        <f t="shared" si="11"/>
        <v>284</v>
      </c>
      <c r="B345" s="45">
        <v>2360</v>
      </c>
      <c r="C345" s="7" t="s">
        <v>221</v>
      </c>
      <c r="D345" s="39"/>
      <c r="E345" s="96"/>
      <c r="F345" s="96"/>
      <c r="G345" s="96"/>
      <c r="H345" s="113"/>
      <c r="I345" s="108">
        <f>G345/$G$433</f>
        <v>0</v>
      </c>
    </row>
    <row r="346" spans="1:9" s="40" customFormat="1" ht="12.75">
      <c r="A346" s="114">
        <f t="shared" si="11"/>
        <v>285</v>
      </c>
      <c r="B346" s="45"/>
      <c r="C346" s="7" t="s">
        <v>222</v>
      </c>
      <c r="D346" s="39"/>
      <c r="E346" s="96"/>
      <c r="F346" s="96"/>
      <c r="G346" s="96"/>
      <c r="H346" s="113"/>
      <c r="I346" s="108">
        <f>G346/$G$433</f>
        <v>0</v>
      </c>
    </row>
    <row r="347" spans="1:9" s="40" customFormat="1" ht="12.75">
      <c r="A347" s="114">
        <f t="shared" si="11"/>
        <v>286</v>
      </c>
      <c r="B347" s="45"/>
      <c r="C347" s="7" t="s">
        <v>177</v>
      </c>
      <c r="D347" s="39"/>
      <c r="E347" s="96"/>
      <c r="F347" s="96"/>
      <c r="G347" s="96"/>
      <c r="H347" s="113"/>
      <c r="I347" s="108">
        <f>G347/$G$433</f>
        <v>0</v>
      </c>
    </row>
    <row r="348" spans="1:9" s="40" customFormat="1" ht="12.75">
      <c r="A348" s="114">
        <f t="shared" si="11"/>
        <v>287</v>
      </c>
      <c r="B348" s="45"/>
      <c r="C348" s="7" t="s">
        <v>223</v>
      </c>
      <c r="D348" s="39"/>
      <c r="E348" s="96">
        <v>1200</v>
      </c>
      <c r="F348" s="96">
        <v>2197</v>
      </c>
      <c r="G348" s="96">
        <v>0</v>
      </c>
      <c r="H348" s="113">
        <f>G348/F348</f>
        <v>0</v>
      </c>
      <c r="I348" s="108">
        <f>G348/$G$433</f>
        <v>0</v>
      </c>
    </row>
    <row r="349" spans="1:9" s="40" customFormat="1" ht="12.75">
      <c r="A349" s="114">
        <f t="shared" si="11"/>
        <v>288</v>
      </c>
      <c r="B349" s="45">
        <v>6310</v>
      </c>
      <c r="C349" s="7" t="s">
        <v>71</v>
      </c>
      <c r="D349" s="39"/>
      <c r="E349" s="90"/>
      <c r="F349" s="90"/>
      <c r="G349" s="90"/>
      <c r="H349" s="113"/>
      <c r="I349" s="108">
        <f>G349/$G$433</f>
        <v>0</v>
      </c>
    </row>
    <row r="350" spans="1:9" s="40" customFormat="1" ht="12.75">
      <c r="A350" s="114">
        <f t="shared" si="11"/>
        <v>289</v>
      </c>
      <c r="B350" s="45"/>
      <c r="C350" s="7" t="s">
        <v>155</v>
      </c>
      <c r="D350" s="39"/>
      <c r="E350" s="90"/>
      <c r="F350" s="90"/>
      <c r="G350" s="90"/>
      <c r="H350" s="113"/>
      <c r="I350" s="108">
        <f>G350/$G$433</f>
        <v>0</v>
      </c>
    </row>
    <row r="351" spans="1:9" s="40" customFormat="1" ht="12.75">
      <c r="A351" s="114">
        <f t="shared" si="11"/>
        <v>290</v>
      </c>
      <c r="B351" s="45"/>
      <c r="C351" s="7" t="s">
        <v>156</v>
      </c>
      <c r="D351" s="39"/>
      <c r="E351" s="90"/>
      <c r="F351" s="90"/>
      <c r="G351" s="90"/>
      <c r="H351" s="113"/>
      <c r="I351" s="108">
        <f>G351/$G$433</f>
        <v>0</v>
      </c>
    </row>
    <row r="352" spans="1:9" s="40" customFormat="1" ht="12.75">
      <c r="A352" s="114">
        <f t="shared" si="11"/>
        <v>291</v>
      </c>
      <c r="B352" s="45"/>
      <c r="C352" s="7" t="s">
        <v>157</v>
      </c>
      <c r="D352" s="39"/>
      <c r="E352" s="96">
        <v>0</v>
      </c>
      <c r="F352" s="96">
        <v>0</v>
      </c>
      <c r="G352" s="96">
        <v>0</v>
      </c>
      <c r="H352" s="113"/>
      <c r="I352" s="108">
        <f>G352/$G$433</f>
        <v>0</v>
      </c>
    </row>
    <row r="353" spans="1:9" s="40" customFormat="1" ht="12.75">
      <c r="A353" s="114">
        <f t="shared" si="11"/>
        <v>292</v>
      </c>
      <c r="B353" s="41">
        <v>85213</v>
      </c>
      <c r="C353" s="38" t="s">
        <v>101</v>
      </c>
      <c r="D353" s="39"/>
      <c r="E353" s="90"/>
      <c r="F353" s="90"/>
      <c r="G353" s="90"/>
      <c r="H353" s="113"/>
      <c r="I353" s="108">
        <f>G353/$G$433</f>
        <v>0</v>
      </c>
    </row>
    <row r="354" spans="1:9" s="40" customFormat="1" ht="12.75">
      <c r="A354" s="114">
        <f t="shared" si="11"/>
        <v>293</v>
      </c>
      <c r="B354" s="46"/>
      <c r="C354" s="53" t="s">
        <v>102</v>
      </c>
      <c r="D354" s="39"/>
      <c r="E354" s="90"/>
      <c r="F354" s="90"/>
      <c r="G354" s="90"/>
      <c r="H354" s="113"/>
      <c r="I354" s="108">
        <f>G354/$G$433</f>
        <v>0</v>
      </c>
    </row>
    <row r="355" spans="1:9" s="40" customFormat="1" ht="12.75">
      <c r="A355" s="114">
        <f t="shared" si="11"/>
        <v>294</v>
      </c>
      <c r="B355" s="46"/>
      <c r="C355" s="38" t="s">
        <v>103</v>
      </c>
      <c r="D355" s="39"/>
      <c r="E355" s="90">
        <f>E359</f>
        <v>12000</v>
      </c>
      <c r="F355" s="90">
        <f>F359</f>
        <v>12000</v>
      </c>
      <c r="G355" s="90">
        <f>G359</f>
        <v>13000</v>
      </c>
      <c r="H355" s="113">
        <f>G355/F355</f>
        <v>1.0833333333333333</v>
      </c>
      <c r="I355" s="108">
        <f>G355/$G$433</f>
        <v>0.00021453361967080543</v>
      </c>
    </row>
    <row r="356" spans="1:9" ht="12.75">
      <c r="A356" s="114">
        <f t="shared" si="11"/>
        <v>295</v>
      </c>
      <c r="B356" s="45">
        <v>2010</v>
      </c>
      <c r="C356" s="7" t="s">
        <v>71</v>
      </c>
      <c r="D356" s="27"/>
      <c r="E356" s="94"/>
      <c r="F356" s="94"/>
      <c r="G356" s="94"/>
      <c r="H356" s="113"/>
      <c r="I356" s="108">
        <f>G356/$G$433</f>
        <v>0</v>
      </c>
    </row>
    <row r="357" spans="1:9" ht="12.75">
      <c r="A357" s="114">
        <f t="shared" si="11"/>
        <v>296</v>
      </c>
      <c r="B357" s="45"/>
      <c r="C357" s="7" t="s">
        <v>279</v>
      </c>
      <c r="D357" s="27"/>
      <c r="E357" s="94"/>
      <c r="F357" s="94"/>
      <c r="G357" s="94"/>
      <c r="H357" s="113"/>
      <c r="I357" s="108">
        <f>G357/$G$433</f>
        <v>0</v>
      </c>
    </row>
    <row r="358" spans="1:9" ht="12.75">
      <c r="A358" s="114">
        <f t="shared" si="11"/>
        <v>297</v>
      </c>
      <c r="B358" s="45"/>
      <c r="C358" s="7" t="s">
        <v>78</v>
      </c>
      <c r="D358" s="27"/>
      <c r="E358" s="94"/>
      <c r="F358" s="94"/>
      <c r="G358" s="94"/>
      <c r="H358" s="113"/>
      <c r="I358" s="108">
        <f>G358/$G$433</f>
        <v>0</v>
      </c>
    </row>
    <row r="359" spans="1:9" ht="12.75">
      <c r="A359" s="114">
        <f t="shared" si="11"/>
        <v>298</v>
      </c>
      <c r="B359" s="45"/>
      <c r="C359" s="7" t="s">
        <v>72</v>
      </c>
      <c r="D359" s="27"/>
      <c r="E359" s="94">
        <v>12000</v>
      </c>
      <c r="F359" s="94">
        <v>12000</v>
      </c>
      <c r="G359" s="94">
        <v>13000</v>
      </c>
      <c r="H359" s="113">
        <f>G359/F359</f>
        <v>1.0833333333333333</v>
      </c>
      <c r="I359" s="108">
        <f>G359/$G$433</f>
        <v>0.00021453361967080543</v>
      </c>
    </row>
    <row r="360" spans="1:9" ht="12.75">
      <c r="A360" s="114">
        <f t="shared" si="11"/>
        <v>299</v>
      </c>
      <c r="B360" s="41">
        <v>85214</v>
      </c>
      <c r="C360" s="15" t="s">
        <v>34</v>
      </c>
      <c r="D360" s="27"/>
      <c r="E360" s="94"/>
      <c r="F360" s="94"/>
      <c r="G360" s="94"/>
      <c r="H360" s="113"/>
      <c r="I360" s="108">
        <f>G360/$G$433</f>
        <v>0</v>
      </c>
    </row>
    <row r="361" spans="1:9" ht="12.75">
      <c r="A361" s="114">
        <f t="shared" si="11"/>
        <v>300</v>
      </c>
      <c r="B361" s="45"/>
      <c r="C361" s="15" t="s">
        <v>77</v>
      </c>
      <c r="D361" s="27"/>
      <c r="E361" s="90">
        <f>E362+E366+E369</f>
        <v>262265</v>
      </c>
      <c r="F361" s="90">
        <f>F362+F366+F369</f>
        <v>262337</v>
      </c>
      <c r="G361" s="90">
        <f>G362+G366+G369</f>
        <v>297272</v>
      </c>
      <c r="H361" s="113">
        <f>G361/F361</f>
        <v>1.1331684055241922</v>
      </c>
      <c r="I361" s="108">
        <f>G361/$G$433</f>
        <v>0.004905756783598436</v>
      </c>
    </row>
    <row r="362" spans="1:9" ht="12.75">
      <c r="A362" s="114">
        <f t="shared" si="11"/>
        <v>301</v>
      </c>
      <c r="B362" s="45" t="s">
        <v>122</v>
      </c>
      <c r="C362" s="44" t="s">
        <v>48</v>
      </c>
      <c r="D362" s="50"/>
      <c r="E362" s="95">
        <v>200</v>
      </c>
      <c r="F362" s="95">
        <v>272</v>
      </c>
      <c r="G362" s="95">
        <v>272</v>
      </c>
      <c r="H362" s="113">
        <f>G362/F362</f>
        <v>1</v>
      </c>
      <c r="I362" s="108">
        <f>G362/$G$433</f>
        <v>4.48870342695839E-06</v>
      </c>
    </row>
    <row r="363" spans="1:9" ht="12.75">
      <c r="A363" s="114">
        <f t="shared" si="11"/>
        <v>302</v>
      </c>
      <c r="B363" s="42">
        <v>2010</v>
      </c>
      <c r="C363" s="7" t="s">
        <v>71</v>
      </c>
      <c r="D363" s="27"/>
      <c r="E363" s="94"/>
      <c r="F363" s="94"/>
      <c r="G363" s="94"/>
      <c r="H363" s="113"/>
      <c r="I363" s="108">
        <f>G363/$G$433</f>
        <v>0</v>
      </c>
    </row>
    <row r="364" spans="1:9" ht="12.75">
      <c r="A364" s="114">
        <f t="shared" si="11"/>
        <v>303</v>
      </c>
      <c r="B364" s="42"/>
      <c r="C364" s="7" t="s">
        <v>278</v>
      </c>
      <c r="D364" s="27"/>
      <c r="E364" s="94"/>
      <c r="F364" s="94"/>
      <c r="G364" s="94"/>
      <c r="H364" s="113"/>
      <c r="I364" s="108">
        <f>G364/$G$433</f>
        <v>0</v>
      </c>
    </row>
    <row r="365" spans="1:9" ht="12.75">
      <c r="A365" s="114">
        <f t="shared" si="11"/>
        <v>304</v>
      </c>
      <c r="B365" s="42"/>
      <c r="C365" s="7" t="s">
        <v>78</v>
      </c>
      <c r="D365" s="27"/>
      <c r="E365" s="94"/>
      <c r="F365" s="94"/>
      <c r="G365" s="94"/>
      <c r="H365" s="113"/>
      <c r="I365" s="108">
        <f>G365/$G$433</f>
        <v>0</v>
      </c>
    </row>
    <row r="366" spans="1:9" ht="12.75">
      <c r="A366" s="114">
        <f t="shared" si="11"/>
        <v>305</v>
      </c>
      <c r="B366" s="42"/>
      <c r="C366" s="7" t="s">
        <v>72</v>
      </c>
      <c r="D366" s="27"/>
      <c r="E366" s="94">
        <v>125065</v>
      </c>
      <c r="F366" s="94">
        <v>125065</v>
      </c>
      <c r="G366" s="94">
        <v>135000</v>
      </c>
      <c r="H366" s="113">
        <f>G366/F366</f>
        <v>1.0794386918802223</v>
      </c>
      <c r="I366" s="108">
        <f>G366/$G$433</f>
        <v>0.0022278491273506717</v>
      </c>
    </row>
    <row r="367" spans="1:9" ht="12.75">
      <c r="A367" s="114">
        <f t="shared" si="11"/>
        <v>306</v>
      </c>
      <c r="B367" s="45">
        <v>2030</v>
      </c>
      <c r="C367" s="44" t="s">
        <v>71</v>
      </c>
      <c r="D367" s="27"/>
      <c r="E367" s="94"/>
      <c r="F367" s="94"/>
      <c r="G367" s="94"/>
      <c r="H367" s="113"/>
      <c r="I367" s="108">
        <f>G367/$G$433</f>
        <v>0</v>
      </c>
    </row>
    <row r="368" spans="1:9" ht="12.75">
      <c r="A368" s="114">
        <f t="shared" si="11"/>
        <v>307</v>
      </c>
      <c r="B368" s="45"/>
      <c r="C368" s="44" t="s">
        <v>147</v>
      </c>
      <c r="D368" s="27"/>
      <c r="E368" s="94"/>
      <c r="F368" s="94"/>
      <c r="G368" s="94"/>
      <c r="H368" s="113"/>
      <c r="I368" s="108">
        <f>G368/$G$433</f>
        <v>0</v>
      </c>
    </row>
    <row r="369" spans="1:9" ht="12.75">
      <c r="A369" s="114">
        <f t="shared" si="11"/>
        <v>308</v>
      </c>
      <c r="B369" s="49"/>
      <c r="C369" s="44" t="s">
        <v>183</v>
      </c>
      <c r="D369" s="27"/>
      <c r="E369" s="94">
        <v>137000</v>
      </c>
      <c r="F369" s="94">
        <v>137000</v>
      </c>
      <c r="G369" s="94">
        <v>162000</v>
      </c>
      <c r="H369" s="113">
        <f aca="true" t="shared" si="12" ref="H369:H374">G369/F369</f>
        <v>1.1824817518248176</v>
      </c>
      <c r="I369" s="108">
        <f>G369/$G$433</f>
        <v>0.002673418952820806</v>
      </c>
    </row>
    <row r="370" spans="1:9" ht="12.75">
      <c r="A370" s="114">
        <f t="shared" si="11"/>
        <v>309</v>
      </c>
      <c r="B370" s="18">
        <v>85215</v>
      </c>
      <c r="C370" s="15" t="s">
        <v>224</v>
      </c>
      <c r="D370" s="27"/>
      <c r="E370" s="84">
        <f>E371</f>
        <v>500</v>
      </c>
      <c r="F370" s="84">
        <f>F371</f>
        <v>555</v>
      </c>
      <c r="G370" s="84">
        <f>G371</f>
        <v>0</v>
      </c>
      <c r="H370" s="113">
        <f t="shared" si="12"/>
        <v>0</v>
      </c>
      <c r="I370" s="108">
        <f>G370/$G$433</f>
        <v>0</v>
      </c>
    </row>
    <row r="371" spans="1:9" ht="12.75">
      <c r="A371" s="114">
        <f t="shared" si="11"/>
        <v>310</v>
      </c>
      <c r="B371" s="45" t="s">
        <v>122</v>
      </c>
      <c r="C371" s="44" t="s">
        <v>48</v>
      </c>
      <c r="D371" s="27"/>
      <c r="E371" s="94">
        <v>500</v>
      </c>
      <c r="F371" s="94">
        <v>555</v>
      </c>
      <c r="G371" s="94">
        <v>0</v>
      </c>
      <c r="H371" s="113">
        <f t="shared" si="12"/>
        <v>0</v>
      </c>
      <c r="I371" s="108">
        <f>G371/$G$433</f>
        <v>0</v>
      </c>
    </row>
    <row r="372" spans="1:9" ht="12.75">
      <c r="A372" s="114">
        <f t="shared" si="11"/>
        <v>311</v>
      </c>
      <c r="B372" s="14">
        <v>85219</v>
      </c>
      <c r="C372" s="15" t="s">
        <v>35</v>
      </c>
      <c r="D372" s="27"/>
      <c r="E372" s="90">
        <f>SUM(E373:E377)</f>
        <v>115120</v>
      </c>
      <c r="F372" s="90">
        <f>SUM(F373:F377)</f>
        <v>115253</v>
      </c>
      <c r="G372" s="90">
        <f>SUM(G373:G377)</f>
        <v>106300</v>
      </c>
      <c r="H372" s="113">
        <f t="shared" si="12"/>
        <v>0.9223187248921937</v>
      </c>
      <c r="I372" s="108">
        <f>G372/$G$433</f>
        <v>0.0017542249054620473</v>
      </c>
    </row>
    <row r="373" spans="1:9" ht="12.75">
      <c r="A373" s="114">
        <f t="shared" si="11"/>
        <v>312</v>
      </c>
      <c r="B373" s="19" t="s">
        <v>130</v>
      </c>
      <c r="C373" s="11" t="s">
        <v>63</v>
      </c>
      <c r="D373" s="31"/>
      <c r="E373" s="96">
        <v>80</v>
      </c>
      <c r="F373" s="96">
        <v>160</v>
      </c>
      <c r="G373" s="96">
        <v>200</v>
      </c>
      <c r="H373" s="113">
        <f t="shared" si="12"/>
        <v>1.25</v>
      </c>
      <c r="I373" s="108">
        <f>G373/$G$433</f>
        <v>3.300517225704699E-06</v>
      </c>
    </row>
    <row r="374" spans="1:9" ht="12.75">
      <c r="A374" s="114">
        <f t="shared" si="11"/>
        <v>313</v>
      </c>
      <c r="B374" s="42" t="s">
        <v>122</v>
      </c>
      <c r="C374" s="44" t="s">
        <v>48</v>
      </c>
      <c r="D374" s="27"/>
      <c r="E374" s="94">
        <v>40</v>
      </c>
      <c r="F374" s="94">
        <v>93</v>
      </c>
      <c r="G374" s="94">
        <v>100</v>
      </c>
      <c r="H374" s="113">
        <f t="shared" si="12"/>
        <v>1.075268817204301</v>
      </c>
      <c r="I374" s="108">
        <f>G374/$G$433</f>
        <v>1.6502586128523495E-06</v>
      </c>
    </row>
    <row r="375" spans="1:9" ht="12.75">
      <c r="A375" s="114">
        <f t="shared" si="11"/>
        <v>314</v>
      </c>
      <c r="B375" s="45">
        <v>2030</v>
      </c>
      <c r="C375" s="44" t="s">
        <v>71</v>
      </c>
      <c r="D375" s="27"/>
      <c r="E375" s="94"/>
      <c r="F375" s="94"/>
      <c r="G375" s="94"/>
      <c r="H375" s="113"/>
      <c r="I375" s="108">
        <f>G375/$G$433</f>
        <v>0</v>
      </c>
    </row>
    <row r="376" spans="1:9" ht="12.75">
      <c r="A376" s="114">
        <f t="shared" si="11"/>
        <v>315</v>
      </c>
      <c r="B376" s="45"/>
      <c r="C376" s="44" t="s">
        <v>147</v>
      </c>
      <c r="D376" s="27"/>
      <c r="E376" s="94"/>
      <c r="F376" s="94"/>
      <c r="G376" s="94"/>
      <c r="H376" s="113"/>
      <c r="I376" s="108">
        <f>G376/$G$433</f>
        <v>0</v>
      </c>
    </row>
    <row r="377" spans="1:9" ht="12.75">
      <c r="A377" s="114">
        <f t="shared" si="11"/>
        <v>316</v>
      </c>
      <c r="B377" s="49"/>
      <c r="C377" s="44" t="s">
        <v>76</v>
      </c>
      <c r="D377" s="27"/>
      <c r="E377" s="94">
        <v>115000</v>
      </c>
      <c r="F377" s="94">
        <v>115000</v>
      </c>
      <c r="G377" s="94">
        <v>106000</v>
      </c>
      <c r="H377" s="113">
        <f>G377/F377</f>
        <v>0.9217391304347826</v>
      </c>
      <c r="I377" s="108">
        <f>G377/$G$433</f>
        <v>0.0017492741296234904</v>
      </c>
    </row>
    <row r="378" spans="1:9" ht="12.75">
      <c r="A378" s="114">
        <f t="shared" si="11"/>
        <v>317</v>
      </c>
      <c r="B378" s="14">
        <v>85228</v>
      </c>
      <c r="C378" s="15" t="s">
        <v>32</v>
      </c>
      <c r="D378" s="27"/>
      <c r="E378" s="94"/>
      <c r="F378" s="94"/>
      <c r="G378" s="94"/>
      <c r="H378" s="113"/>
      <c r="I378" s="108">
        <f>G378/$G$433</f>
        <v>0</v>
      </c>
    </row>
    <row r="379" spans="1:9" ht="12.75">
      <c r="A379" s="114">
        <f t="shared" si="11"/>
        <v>318</v>
      </c>
      <c r="B379" s="14"/>
      <c r="C379" s="15" t="s">
        <v>33</v>
      </c>
      <c r="D379" s="27"/>
      <c r="E379" s="90">
        <f>SUM(E380:E384)</f>
        <v>10000</v>
      </c>
      <c r="F379" s="90">
        <f>SUM(F380:F384)</f>
        <v>10000</v>
      </c>
      <c r="G379" s="90">
        <f>SUM(G380:G384)</f>
        <v>49000</v>
      </c>
      <c r="H379" s="113">
        <f>G379/F379</f>
        <v>4.9</v>
      </c>
      <c r="I379" s="108">
        <f>G379/$G$433</f>
        <v>0.0008086267202976512</v>
      </c>
    </row>
    <row r="380" spans="1:9" ht="12.75">
      <c r="A380" s="114">
        <f t="shared" si="11"/>
        <v>319</v>
      </c>
      <c r="B380" s="42" t="s">
        <v>129</v>
      </c>
      <c r="C380" s="7" t="s">
        <v>10</v>
      </c>
      <c r="D380" s="27"/>
      <c r="E380" s="94">
        <v>10000</v>
      </c>
      <c r="F380" s="94">
        <v>10000</v>
      </c>
      <c r="G380" s="94">
        <v>11000</v>
      </c>
      <c r="H380" s="113">
        <f>G380/F380</f>
        <v>1.1</v>
      </c>
      <c r="I380" s="108">
        <f>G380/$G$433</f>
        <v>0.00018152844741375844</v>
      </c>
    </row>
    <row r="381" spans="1:9" ht="12.75">
      <c r="A381" s="114">
        <f t="shared" si="11"/>
        <v>320</v>
      </c>
      <c r="B381" s="42">
        <v>2010</v>
      </c>
      <c r="C381" s="7" t="s">
        <v>71</v>
      </c>
      <c r="D381" s="27"/>
      <c r="E381" s="94"/>
      <c r="F381" s="94"/>
      <c r="G381" s="94"/>
      <c r="H381" s="113"/>
      <c r="I381" s="108">
        <f>G381/$G$433</f>
        <v>0</v>
      </c>
    </row>
    <row r="382" spans="1:9" ht="12.75">
      <c r="A382" s="114">
        <f t="shared" si="11"/>
        <v>321</v>
      </c>
      <c r="B382" s="42"/>
      <c r="C382" s="7" t="s">
        <v>278</v>
      </c>
      <c r="D382" s="27"/>
      <c r="E382" s="94"/>
      <c r="F382" s="94"/>
      <c r="G382" s="94"/>
      <c r="H382" s="113"/>
      <c r="I382" s="108">
        <f>G382/$G$433</f>
        <v>0</v>
      </c>
    </row>
    <row r="383" spans="1:9" ht="12.75">
      <c r="A383" s="114">
        <f aca="true" t="shared" si="13" ref="A383:A433">A382+1</f>
        <v>322</v>
      </c>
      <c r="B383" s="42"/>
      <c r="C383" s="7" t="s">
        <v>78</v>
      </c>
      <c r="D383" s="27"/>
      <c r="E383" s="94"/>
      <c r="F383" s="94"/>
      <c r="G383" s="94"/>
      <c r="H383" s="113"/>
      <c r="I383" s="108">
        <f>G383/$G$433</f>
        <v>0</v>
      </c>
    </row>
    <row r="384" spans="1:9" ht="12.75">
      <c r="A384" s="114">
        <f t="shared" si="13"/>
        <v>323</v>
      </c>
      <c r="B384" s="42"/>
      <c r="C384" s="7" t="s">
        <v>72</v>
      </c>
      <c r="D384" s="27"/>
      <c r="E384" s="94">
        <v>0</v>
      </c>
      <c r="F384" s="94">
        <v>0</v>
      </c>
      <c r="G384" s="94">
        <v>38000</v>
      </c>
      <c r="H384" s="113"/>
      <c r="I384" s="108">
        <f>G384/$G$433</f>
        <v>0.0006270982728838928</v>
      </c>
    </row>
    <row r="385" spans="1:9" ht="12.75">
      <c r="A385" s="114"/>
      <c r="B385" s="42"/>
      <c r="C385" s="7"/>
      <c r="D385" s="27"/>
      <c r="E385" s="94"/>
      <c r="F385" s="94"/>
      <c r="G385" s="94"/>
      <c r="H385" s="113"/>
      <c r="I385" s="108"/>
    </row>
    <row r="386" spans="1:9" ht="12.75">
      <c r="A386" s="114">
        <f>A384+1</f>
        <v>324</v>
      </c>
      <c r="B386" s="14">
        <v>85295</v>
      </c>
      <c r="C386" s="15" t="s">
        <v>7</v>
      </c>
      <c r="D386" s="27"/>
      <c r="E386" s="90">
        <f>E387+E394+E391</f>
        <v>135100</v>
      </c>
      <c r="F386" s="90">
        <f>F387+F394+F391</f>
        <v>135109</v>
      </c>
      <c r="G386" s="90">
        <f>G387+G394+G391</f>
        <v>56000</v>
      </c>
      <c r="H386" s="113">
        <f>G386/F386</f>
        <v>0.41448016046303354</v>
      </c>
      <c r="I386" s="108">
        <f>G386/$G$433</f>
        <v>0.0009241448231973157</v>
      </c>
    </row>
    <row r="387" spans="1:9" ht="12.75">
      <c r="A387" s="114">
        <f t="shared" si="13"/>
        <v>325</v>
      </c>
      <c r="B387" s="19" t="s">
        <v>122</v>
      </c>
      <c r="C387" s="44" t="s">
        <v>48</v>
      </c>
      <c r="D387" s="27"/>
      <c r="E387" s="94">
        <v>100</v>
      </c>
      <c r="F387" s="94">
        <v>109</v>
      </c>
      <c r="G387" s="94">
        <v>0</v>
      </c>
      <c r="H387" s="113">
        <f>G387/F387</f>
        <v>0</v>
      </c>
      <c r="I387" s="108">
        <f>G387/$G$433</f>
        <v>0</v>
      </c>
    </row>
    <row r="388" spans="1:9" ht="12.75">
      <c r="A388" s="114">
        <f t="shared" si="13"/>
        <v>326</v>
      </c>
      <c r="B388" s="19">
        <v>2020</v>
      </c>
      <c r="C388" s="44" t="s">
        <v>71</v>
      </c>
      <c r="D388" s="27"/>
      <c r="E388" s="94"/>
      <c r="F388" s="94"/>
      <c r="G388" s="94"/>
      <c r="H388" s="113"/>
      <c r="I388" s="108">
        <f>G388/$G$433</f>
        <v>0</v>
      </c>
    </row>
    <row r="389" spans="1:9" ht="12.75">
      <c r="A389" s="114">
        <f t="shared" si="13"/>
        <v>327</v>
      </c>
      <c r="B389" s="19"/>
      <c r="C389" s="44" t="s">
        <v>273</v>
      </c>
      <c r="D389" s="27"/>
      <c r="E389" s="94"/>
      <c r="F389" s="94"/>
      <c r="G389" s="94"/>
      <c r="H389" s="113"/>
      <c r="I389" s="108">
        <f>G389/$G$433</f>
        <v>0</v>
      </c>
    </row>
    <row r="390" spans="1:9" ht="12.75">
      <c r="A390" s="114">
        <f t="shared" si="13"/>
        <v>328</v>
      </c>
      <c r="B390" s="19"/>
      <c r="C390" s="44" t="s">
        <v>274</v>
      </c>
      <c r="D390" s="27"/>
      <c r="E390" s="94"/>
      <c r="F390" s="94"/>
      <c r="G390" s="94"/>
      <c r="H390" s="113"/>
      <c r="I390" s="108">
        <f>G390/$G$433</f>
        <v>0</v>
      </c>
    </row>
    <row r="391" spans="1:9" ht="12.75">
      <c r="A391" s="114">
        <f t="shared" si="13"/>
        <v>329</v>
      </c>
      <c r="B391" s="19"/>
      <c r="C391" s="44" t="s">
        <v>275</v>
      </c>
      <c r="D391" s="27"/>
      <c r="E391" s="94">
        <v>15000</v>
      </c>
      <c r="F391" s="94">
        <v>15000</v>
      </c>
      <c r="G391" s="94">
        <v>0</v>
      </c>
      <c r="H391" s="113"/>
      <c r="I391" s="108">
        <f>G391/$G$433</f>
        <v>0</v>
      </c>
    </row>
    <row r="392" spans="1:9" ht="12.75">
      <c r="A392" s="114">
        <f t="shared" si="13"/>
        <v>330</v>
      </c>
      <c r="B392" s="45">
        <v>2030</v>
      </c>
      <c r="C392" s="44" t="s">
        <v>71</v>
      </c>
      <c r="D392" s="27"/>
      <c r="E392" s="94"/>
      <c r="F392" s="94"/>
      <c r="G392" s="94"/>
      <c r="H392" s="113"/>
      <c r="I392" s="108">
        <f>G392/$G$433</f>
        <v>0</v>
      </c>
    </row>
    <row r="393" spans="1:9" ht="12.75">
      <c r="A393" s="114">
        <f t="shared" si="13"/>
        <v>331</v>
      </c>
      <c r="B393" s="45"/>
      <c r="C393" s="44" t="s">
        <v>147</v>
      </c>
      <c r="D393" s="27"/>
      <c r="E393" s="94"/>
      <c r="F393" s="94"/>
      <c r="G393" s="94"/>
      <c r="H393" s="113"/>
      <c r="I393" s="108">
        <f>G393/$G$433</f>
        <v>0</v>
      </c>
    </row>
    <row r="394" spans="1:9" ht="12.75">
      <c r="A394" s="114">
        <f t="shared" si="13"/>
        <v>332</v>
      </c>
      <c r="B394" s="45"/>
      <c r="C394" s="44" t="s">
        <v>184</v>
      </c>
      <c r="D394" s="27"/>
      <c r="E394" s="94">
        <v>120000</v>
      </c>
      <c r="F394" s="94">
        <v>120000</v>
      </c>
      <c r="G394" s="94">
        <v>56000</v>
      </c>
      <c r="H394" s="113">
        <f>G394/F394</f>
        <v>0.4666666666666667</v>
      </c>
      <c r="I394" s="108">
        <f>G394/$G$433</f>
        <v>0.0009241448231973157</v>
      </c>
    </row>
    <row r="395" spans="1:9" s="36" customFormat="1" ht="15">
      <c r="A395" s="114">
        <f t="shared" si="13"/>
        <v>333</v>
      </c>
      <c r="B395" s="37">
        <v>854</v>
      </c>
      <c r="C395" s="34" t="s">
        <v>29</v>
      </c>
      <c r="D395" s="35"/>
      <c r="E395" s="86"/>
      <c r="F395" s="86"/>
      <c r="G395" s="86"/>
      <c r="H395" s="113"/>
      <c r="I395" s="108">
        <f>G395/$G$433</f>
        <v>0</v>
      </c>
    </row>
    <row r="396" spans="1:9" s="36" customFormat="1" ht="15">
      <c r="A396" s="114">
        <f t="shared" si="13"/>
        <v>334</v>
      </c>
      <c r="B396" s="34"/>
      <c r="C396" s="34" t="s">
        <v>30</v>
      </c>
      <c r="D396" s="35" t="e">
        <f>#REF!+D400+#REF!+#REF!</f>
        <v>#REF!</v>
      </c>
      <c r="E396" s="86">
        <f>E400+E412</f>
        <v>238257</v>
      </c>
      <c r="F396" s="86">
        <f>F400+F412</f>
        <v>237365</v>
      </c>
      <c r="G396" s="86">
        <f>G400+G412</f>
        <v>62500</v>
      </c>
      <c r="H396" s="113">
        <f>G396/F396</f>
        <v>0.2633075642997072</v>
      </c>
      <c r="I396" s="108">
        <f>G396/$G$433</f>
        <v>0.0010314116330327183</v>
      </c>
    </row>
    <row r="397" spans="1:9" s="36" customFormat="1" ht="15">
      <c r="A397" s="114">
        <f t="shared" si="13"/>
        <v>335</v>
      </c>
      <c r="B397" s="34"/>
      <c r="C397" s="34"/>
      <c r="D397" s="35"/>
      <c r="E397" s="86"/>
      <c r="F397" s="86"/>
      <c r="G397" s="86"/>
      <c r="H397" s="113"/>
      <c r="I397" s="108">
        <f>G397/$G$433</f>
        <v>0</v>
      </c>
    </row>
    <row r="398" spans="1:9" s="3" customFormat="1" ht="12.75">
      <c r="A398" s="114">
        <f t="shared" si="13"/>
        <v>336</v>
      </c>
      <c r="B398" s="18">
        <v>85412</v>
      </c>
      <c r="C398" s="15" t="s">
        <v>31</v>
      </c>
      <c r="D398" s="21"/>
      <c r="E398" s="93"/>
      <c r="F398" s="93"/>
      <c r="G398" s="93"/>
      <c r="H398" s="113"/>
      <c r="I398" s="108">
        <f>G398/$G$433</f>
        <v>0</v>
      </c>
    </row>
    <row r="399" spans="1:9" s="3" customFormat="1" ht="12.75">
      <c r="A399" s="114">
        <f t="shared" si="13"/>
        <v>337</v>
      </c>
      <c r="B399" s="18"/>
      <c r="C399" s="15" t="s">
        <v>107</v>
      </c>
      <c r="D399" s="21"/>
      <c r="E399" s="93"/>
      <c r="F399" s="93"/>
      <c r="G399" s="93"/>
      <c r="H399" s="113"/>
      <c r="I399" s="108">
        <f>G399/$G$433</f>
        <v>0</v>
      </c>
    </row>
    <row r="400" spans="1:9" s="3" customFormat="1" ht="12.75">
      <c r="A400" s="114">
        <f t="shared" si="13"/>
        <v>338</v>
      </c>
      <c r="B400" s="18"/>
      <c r="C400" s="15" t="s">
        <v>121</v>
      </c>
      <c r="D400" s="21">
        <f>D408</f>
        <v>120000</v>
      </c>
      <c r="E400" s="93">
        <f>E404+E408</f>
        <v>182025</v>
      </c>
      <c r="F400" s="93">
        <f>F404+F408</f>
        <v>181133</v>
      </c>
      <c r="G400" s="93">
        <f>G404+G408</f>
        <v>62500</v>
      </c>
      <c r="H400" s="113">
        <f>G400/F400</f>
        <v>0.34505032213898074</v>
      </c>
      <c r="I400" s="108">
        <f>G400/$G$433</f>
        <v>0.0010314116330327183</v>
      </c>
    </row>
    <row r="401" spans="1:9" s="51" customFormat="1" ht="12.75">
      <c r="A401" s="114">
        <f t="shared" si="13"/>
        <v>339</v>
      </c>
      <c r="B401" s="45" t="s">
        <v>126</v>
      </c>
      <c r="C401" s="7" t="s">
        <v>51</v>
      </c>
      <c r="D401" s="50"/>
      <c r="E401" s="95"/>
      <c r="F401" s="95"/>
      <c r="G401" s="95"/>
      <c r="H401" s="113"/>
      <c r="I401" s="108">
        <f>G401/$G$433</f>
        <v>0</v>
      </c>
    </row>
    <row r="402" spans="1:9" s="51" customFormat="1" ht="12.75">
      <c r="A402" s="114">
        <f t="shared" si="13"/>
        <v>340</v>
      </c>
      <c r="B402" s="52"/>
      <c r="C402" s="43" t="s">
        <v>112</v>
      </c>
      <c r="D402" s="50"/>
      <c r="E402" s="95"/>
      <c r="F402" s="95"/>
      <c r="G402" s="95"/>
      <c r="H402" s="113"/>
      <c r="I402" s="108">
        <f>G402/$G$433</f>
        <v>0</v>
      </c>
    </row>
    <row r="403" spans="1:9" s="51" customFormat="1" ht="12.75">
      <c r="A403" s="114">
        <f t="shared" si="13"/>
        <v>341</v>
      </c>
      <c r="B403" s="52"/>
      <c r="C403" s="7" t="s">
        <v>113</v>
      </c>
      <c r="D403" s="50"/>
      <c r="E403" s="95"/>
      <c r="F403" s="95"/>
      <c r="G403" s="95"/>
      <c r="H403" s="113"/>
      <c r="I403" s="108">
        <f>G403/$G$433</f>
        <v>0</v>
      </c>
    </row>
    <row r="404" spans="1:9" s="51" customFormat="1" ht="12.75">
      <c r="A404" s="114">
        <f t="shared" si="13"/>
        <v>342</v>
      </c>
      <c r="B404" s="52"/>
      <c r="C404" s="7" t="s">
        <v>114</v>
      </c>
      <c r="D404" s="50"/>
      <c r="E404" s="95">
        <f>SUM(E406:E407)</f>
        <v>158025</v>
      </c>
      <c r="F404" s="95">
        <f>SUM(F406:F407)</f>
        <v>158000</v>
      </c>
      <c r="G404" s="95">
        <f>SUM(G406:G407)</f>
        <v>55000</v>
      </c>
      <c r="H404" s="113">
        <f>G404/F404</f>
        <v>0.34810126582278483</v>
      </c>
      <c r="I404" s="108">
        <f>G404/$G$433</f>
        <v>0.0009076422370687922</v>
      </c>
    </row>
    <row r="405" spans="1:9" s="51" customFormat="1" ht="12.75">
      <c r="A405" s="114">
        <f t="shared" si="13"/>
        <v>343</v>
      </c>
      <c r="B405" s="52"/>
      <c r="C405" s="7" t="s">
        <v>8</v>
      </c>
      <c r="D405" s="50"/>
      <c r="E405" s="95"/>
      <c r="F405" s="95"/>
      <c r="G405" s="95"/>
      <c r="H405" s="113"/>
      <c r="I405" s="108">
        <f>G405/$G$433</f>
        <v>0</v>
      </c>
    </row>
    <row r="406" spans="1:9" s="51" customFormat="1" ht="12.75">
      <c r="A406" s="114">
        <f t="shared" si="13"/>
        <v>344</v>
      </c>
      <c r="B406" s="52"/>
      <c r="C406" s="7" t="s">
        <v>74</v>
      </c>
      <c r="D406" s="50"/>
      <c r="E406" s="95">
        <f>82000+18025</f>
        <v>100025</v>
      </c>
      <c r="F406" s="95">
        <v>100000</v>
      </c>
      <c r="G406" s="95">
        <v>0</v>
      </c>
      <c r="H406" s="113">
        <f>G406/F406</f>
        <v>0</v>
      </c>
      <c r="I406" s="108">
        <f>G406/$G$433</f>
        <v>0</v>
      </c>
    </row>
    <row r="407" spans="1:9" s="51" customFormat="1" ht="12.75">
      <c r="A407" s="114">
        <f t="shared" si="13"/>
        <v>345</v>
      </c>
      <c r="B407" s="52"/>
      <c r="C407" s="44" t="s">
        <v>85</v>
      </c>
      <c r="D407" s="50"/>
      <c r="E407" s="95">
        <v>58000</v>
      </c>
      <c r="F407" s="95">
        <v>58000</v>
      </c>
      <c r="G407" s="95">
        <v>55000</v>
      </c>
      <c r="H407" s="113">
        <f>G407/F407</f>
        <v>0.9482758620689655</v>
      </c>
      <c r="I407" s="108">
        <f>G407/$G$433</f>
        <v>0.0009076422370687922</v>
      </c>
    </row>
    <row r="408" spans="1:9" ht="12.75">
      <c r="A408" s="114">
        <f t="shared" si="13"/>
        <v>346</v>
      </c>
      <c r="B408" s="42" t="s">
        <v>129</v>
      </c>
      <c r="C408" s="7" t="s">
        <v>10</v>
      </c>
      <c r="D408" s="27">
        <f>SUM(D410:D411)</f>
        <v>120000</v>
      </c>
      <c r="E408" s="94">
        <f>SUM(E410:E411)</f>
        <v>24000</v>
      </c>
      <c r="F408" s="94">
        <f>SUM(F410:F411)</f>
        <v>23133</v>
      </c>
      <c r="G408" s="94">
        <f>SUM(G410:G411)</f>
        <v>7500</v>
      </c>
      <c r="H408" s="113">
        <f>G408/F408</f>
        <v>0.3242121644404098</v>
      </c>
      <c r="I408" s="108">
        <f>G408/$G$433</f>
        <v>0.0001237693959639262</v>
      </c>
    </row>
    <row r="409" spans="1:9" ht="12.75">
      <c r="A409" s="114">
        <f t="shared" si="13"/>
        <v>347</v>
      </c>
      <c r="B409" s="7"/>
      <c r="C409" s="7" t="s">
        <v>8</v>
      </c>
      <c r="D409" s="27"/>
      <c r="E409" s="94"/>
      <c r="F409" s="94"/>
      <c r="G409" s="94"/>
      <c r="H409" s="113"/>
      <c r="I409" s="108">
        <f>G409/$G$433</f>
        <v>0</v>
      </c>
    </row>
    <row r="410" spans="1:9" ht="12.75">
      <c r="A410" s="114">
        <f t="shared" si="13"/>
        <v>348</v>
      </c>
      <c r="B410" s="7"/>
      <c r="C410" s="7" t="s">
        <v>75</v>
      </c>
      <c r="D410" s="27">
        <v>120000</v>
      </c>
      <c r="E410" s="94">
        <v>16500</v>
      </c>
      <c r="F410" s="94">
        <v>16500</v>
      </c>
      <c r="G410" s="94">
        <v>0</v>
      </c>
      <c r="H410" s="113">
        <f>G410/F410</f>
        <v>0</v>
      </c>
      <c r="I410" s="108">
        <f>G410/$G$433</f>
        <v>0</v>
      </c>
    </row>
    <row r="411" spans="1:9" ht="12.75">
      <c r="A411" s="114">
        <f t="shared" si="13"/>
        <v>349</v>
      </c>
      <c r="B411" s="7"/>
      <c r="C411" s="7" t="s">
        <v>85</v>
      </c>
      <c r="D411" s="27">
        <v>0</v>
      </c>
      <c r="E411" s="94">
        <v>7500</v>
      </c>
      <c r="F411" s="94">
        <v>6633</v>
      </c>
      <c r="G411" s="94">
        <v>7500</v>
      </c>
      <c r="H411" s="113">
        <f>G411/F411</f>
        <v>1.1307100859339665</v>
      </c>
      <c r="I411" s="108">
        <f>G411/$G$433</f>
        <v>0.0001237693959639262</v>
      </c>
    </row>
    <row r="412" spans="1:9" s="40" customFormat="1" ht="12.75">
      <c r="A412" s="114">
        <f t="shared" si="13"/>
        <v>350</v>
      </c>
      <c r="B412" s="41">
        <v>85415</v>
      </c>
      <c r="C412" s="38" t="s">
        <v>185</v>
      </c>
      <c r="D412" s="39"/>
      <c r="E412" s="90">
        <f>E415</f>
        <v>56232</v>
      </c>
      <c r="F412" s="90">
        <f>F415</f>
        <v>56232</v>
      </c>
      <c r="G412" s="90">
        <f>G415</f>
        <v>0</v>
      </c>
      <c r="H412" s="113">
        <f>G412/F412</f>
        <v>0</v>
      </c>
      <c r="I412" s="108">
        <f>G412/$G$433</f>
        <v>0</v>
      </c>
    </row>
    <row r="413" spans="1:9" s="51" customFormat="1" ht="12.75">
      <c r="A413" s="114">
        <f t="shared" si="13"/>
        <v>351</v>
      </c>
      <c r="B413" s="45">
        <v>2030</v>
      </c>
      <c r="C413" s="44" t="s">
        <v>71</v>
      </c>
      <c r="D413" s="50"/>
      <c r="E413" s="95"/>
      <c r="F413" s="95"/>
      <c r="G413" s="95"/>
      <c r="H413" s="113"/>
      <c r="I413" s="108">
        <f>G413/$G$433</f>
        <v>0</v>
      </c>
    </row>
    <row r="414" spans="1:9" s="51" customFormat="1" ht="12.75">
      <c r="A414" s="114">
        <f t="shared" si="13"/>
        <v>352</v>
      </c>
      <c r="B414" s="52"/>
      <c r="C414" s="44" t="s">
        <v>147</v>
      </c>
      <c r="D414" s="50"/>
      <c r="E414" s="95"/>
      <c r="F414" s="95"/>
      <c r="G414" s="95"/>
      <c r="H414" s="113"/>
      <c r="I414" s="108">
        <f>G414/$G$433</f>
        <v>0</v>
      </c>
    </row>
    <row r="415" spans="1:9" s="51" customFormat="1" ht="12.75">
      <c r="A415" s="114">
        <f t="shared" si="13"/>
        <v>353</v>
      </c>
      <c r="B415" s="44"/>
      <c r="C415" s="44" t="s">
        <v>251</v>
      </c>
      <c r="D415" s="50"/>
      <c r="E415" s="95">
        <f>SUM(E417:E418)</f>
        <v>56232</v>
      </c>
      <c r="F415" s="95">
        <f>SUM(F417:F418)</f>
        <v>56232</v>
      </c>
      <c r="G415" s="95">
        <f>SUM(G417:G418)</f>
        <v>0</v>
      </c>
      <c r="H415" s="113">
        <f>G415/F415</f>
        <v>0</v>
      </c>
      <c r="I415" s="108">
        <f>G415/$G$433</f>
        <v>0</v>
      </c>
    </row>
    <row r="416" spans="1:9" s="51" customFormat="1" ht="12.75">
      <c r="A416" s="114">
        <f t="shared" si="13"/>
        <v>354</v>
      </c>
      <c r="B416" s="44"/>
      <c r="C416" s="44" t="s">
        <v>8</v>
      </c>
      <c r="D416" s="50"/>
      <c r="E416" s="95"/>
      <c r="F416" s="95"/>
      <c r="G416" s="95"/>
      <c r="H416" s="113"/>
      <c r="I416" s="108">
        <f>G416/$G$433</f>
        <v>0</v>
      </c>
    </row>
    <row r="417" spans="1:9" s="51" customFormat="1" ht="12.75">
      <c r="A417" s="114">
        <f t="shared" si="13"/>
        <v>355</v>
      </c>
      <c r="B417" s="44"/>
      <c r="C417" s="44" t="s">
        <v>252</v>
      </c>
      <c r="D417" s="50"/>
      <c r="E417" s="95">
        <f>43225+4037</f>
        <v>47262</v>
      </c>
      <c r="F417" s="95">
        <v>47262</v>
      </c>
      <c r="G417" s="95">
        <v>0</v>
      </c>
      <c r="H417" s="113"/>
      <c r="I417" s="108">
        <f>G417/$G$433</f>
        <v>0</v>
      </c>
    </row>
    <row r="418" spans="1:9" s="51" customFormat="1" ht="12.75">
      <c r="A418" s="114">
        <f t="shared" si="13"/>
        <v>356</v>
      </c>
      <c r="B418" s="44"/>
      <c r="C418" s="44" t="s">
        <v>253</v>
      </c>
      <c r="D418" s="50"/>
      <c r="E418" s="95">
        <v>8970</v>
      </c>
      <c r="F418" s="95">
        <v>8970</v>
      </c>
      <c r="G418" s="95">
        <v>0</v>
      </c>
      <c r="H418" s="113"/>
      <c r="I418" s="108">
        <f>G418/$G$433</f>
        <v>0</v>
      </c>
    </row>
    <row r="419" spans="1:9" s="4" customFormat="1" ht="15">
      <c r="A419" s="114">
        <f t="shared" si="13"/>
        <v>357</v>
      </c>
      <c r="B419" s="12">
        <v>900</v>
      </c>
      <c r="C419" s="13" t="s">
        <v>3</v>
      </c>
      <c r="D419" s="20"/>
      <c r="E419" s="89"/>
      <c r="F419" s="89"/>
      <c r="G419" s="89"/>
      <c r="H419" s="113"/>
      <c r="I419" s="108">
        <f>G419/$G$433</f>
        <v>0</v>
      </c>
    </row>
    <row r="420" spans="1:9" s="4" customFormat="1" ht="15">
      <c r="A420" s="114">
        <f t="shared" si="13"/>
        <v>358</v>
      </c>
      <c r="B420" s="12"/>
      <c r="C420" s="13" t="s">
        <v>27</v>
      </c>
      <c r="D420" s="20" t="e">
        <f>#REF!+D421+#REF!</f>
        <v>#REF!</v>
      </c>
      <c r="E420" s="89">
        <f>E421+E424+E426</f>
        <v>101690</v>
      </c>
      <c r="F420" s="89">
        <f>F421+F424+F426</f>
        <v>106598</v>
      </c>
      <c r="G420" s="89">
        <f>G421+G424+G426</f>
        <v>844294</v>
      </c>
      <c r="H420" s="113">
        <f>G420/F420</f>
        <v>7.9203549785174205</v>
      </c>
      <c r="I420" s="108">
        <f>G420/$G$433</f>
        <v>0.013933034452795616</v>
      </c>
    </row>
    <row r="421" spans="1:9" s="40" customFormat="1" ht="12.75">
      <c r="A421" s="114">
        <f t="shared" si="13"/>
        <v>359</v>
      </c>
      <c r="B421" s="41">
        <v>90017</v>
      </c>
      <c r="C421" s="38" t="s">
        <v>225</v>
      </c>
      <c r="D421" s="39" t="e">
        <f>#REF!</f>
        <v>#REF!</v>
      </c>
      <c r="E421" s="90">
        <f>E422</f>
        <v>90</v>
      </c>
      <c r="F421" s="90">
        <f>F422</f>
        <v>91</v>
      </c>
      <c r="G421" s="90">
        <f>G422</f>
        <v>0</v>
      </c>
      <c r="H421" s="113">
        <f>G421/F421</f>
        <v>0</v>
      </c>
      <c r="I421" s="108">
        <f>G421/$G$433</f>
        <v>0</v>
      </c>
    </row>
    <row r="422" spans="1:9" s="40" customFormat="1" ht="12.75">
      <c r="A422" s="114">
        <f t="shared" si="13"/>
        <v>360</v>
      </c>
      <c r="B422" s="45" t="s">
        <v>122</v>
      </c>
      <c r="C422" s="7" t="s">
        <v>48</v>
      </c>
      <c r="D422" s="50"/>
      <c r="E422" s="95">
        <v>90</v>
      </c>
      <c r="F422" s="95">
        <v>91</v>
      </c>
      <c r="G422" s="95">
        <v>0</v>
      </c>
      <c r="H422" s="113">
        <f>G422/F422</f>
        <v>0</v>
      </c>
      <c r="I422" s="108">
        <f>G422/$G$433</f>
        <v>0</v>
      </c>
    </row>
    <row r="423" spans="1:9" s="143" customFormat="1" ht="12.75">
      <c r="A423" s="114">
        <f t="shared" si="13"/>
        <v>361</v>
      </c>
      <c r="B423" s="139">
        <v>90020</v>
      </c>
      <c r="C423" s="23" t="s">
        <v>254</v>
      </c>
      <c r="D423" s="140"/>
      <c r="E423" s="141"/>
      <c r="F423" s="141"/>
      <c r="G423" s="141"/>
      <c r="H423" s="142"/>
      <c r="I423" s="108">
        <f>G423/$G$433</f>
        <v>0</v>
      </c>
    </row>
    <row r="424" spans="1:9" s="3" customFormat="1" ht="12.75">
      <c r="A424" s="114">
        <f t="shared" si="13"/>
        <v>362</v>
      </c>
      <c r="B424" s="137"/>
      <c r="C424" s="15" t="s">
        <v>255</v>
      </c>
      <c r="D424" s="21"/>
      <c r="E424" s="93">
        <f>E425</f>
        <v>1600</v>
      </c>
      <c r="F424" s="93">
        <f>F425</f>
        <v>2800</v>
      </c>
      <c r="G424" s="93">
        <f>G425</f>
        <v>3000</v>
      </c>
      <c r="H424" s="138"/>
      <c r="I424" s="108">
        <f>G424/$G$433</f>
        <v>4.950775838557048E-05</v>
      </c>
    </row>
    <row r="425" spans="1:9" s="40" customFormat="1" ht="12.75">
      <c r="A425" s="114">
        <f t="shared" si="13"/>
        <v>363</v>
      </c>
      <c r="B425" s="45" t="s">
        <v>226</v>
      </c>
      <c r="C425" s="7" t="s">
        <v>227</v>
      </c>
      <c r="D425" s="50"/>
      <c r="E425" s="95">
        <v>1600</v>
      </c>
      <c r="F425" s="95">
        <v>2800</v>
      </c>
      <c r="G425" s="95">
        <v>3000</v>
      </c>
      <c r="H425" s="113"/>
      <c r="I425" s="108">
        <f>G425/$G$433</f>
        <v>4.950775838557048E-05</v>
      </c>
    </row>
    <row r="426" spans="1:9" s="40" customFormat="1" ht="12.75">
      <c r="A426" s="114">
        <f t="shared" si="13"/>
        <v>364</v>
      </c>
      <c r="B426" s="18">
        <v>90095</v>
      </c>
      <c r="C426" s="15" t="s">
        <v>7</v>
      </c>
      <c r="D426" s="21"/>
      <c r="E426" s="93">
        <f>SUM(E427:E428)</f>
        <v>100000</v>
      </c>
      <c r="F426" s="93">
        <f>SUM(F427:F428)</f>
        <v>103707</v>
      </c>
      <c r="G426" s="93">
        <f>SUM(G427:G428)</f>
        <v>841294</v>
      </c>
      <c r="H426" s="113">
        <f>G426/F426</f>
        <v>8.112220004435573</v>
      </c>
      <c r="I426" s="108">
        <f>G426/$G$433</f>
        <v>0.013883526694410044</v>
      </c>
    </row>
    <row r="427" spans="1:9" s="40" customFormat="1" ht="12.75">
      <c r="A427" s="114">
        <f t="shared" si="13"/>
        <v>365</v>
      </c>
      <c r="B427" s="45" t="s">
        <v>122</v>
      </c>
      <c r="C427" s="7" t="s">
        <v>228</v>
      </c>
      <c r="D427" s="50"/>
      <c r="E427" s="95">
        <v>100000</v>
      </c>
      <c r="F427" s="95">
        <v>103707</v>
      </c>
      <c r="G427" s="95">
        <v>0</v>
      </c>
      <c r="H427" s="113">
        <f>G427/F427</f>
        <v>0</v>
      </c>
      <c r="I427" s="108">
        <f>G427/$G$433</f>
        <v>0</v>
      </c>
    </row>
    <row r="428" spans="1:9" s="40" customFormat="1" ht="12.75">
      <c r="A428" s="114">
        <f t="shared" si="13"/>
        <v>366</v>
      </c>
      <c r="B428" s="45">
        <v>6200</v>
      </c>
      <c r="C428" s="7" t="s">
        <v>280</v>
      </c>
      <c r="D428" s="50"/>
      <c r="E428" s="95">
        <v>0</v>
      </c>
      <c r="F428" s="95">
        <v>0</v>
      </c>
      <c r="G428" s="95">
        <v>841294</v>
      </c>
      <c r="H428" s="113"/>
      <c r="I428" s="108">
        <f>G428/$G$433</f>
        <v>0.013883526694410044</v>
      </c>
    </row>
    <row r="429" spans="1:9" s="71" customFormat="1" ht="15">
      <c r="A429" s="114">
        <f t="shared" si="13"/>
        <v>367</v>
      </c>
      <c r="B429" s="37">
        <v>921</v>
      </c>
      <c r="C429" s="37" t="s">
        <v>159</v>
      </c>
      <c r="D429" s="70"/>
      <c r="E429" s="97"/>
      <c r="F429" s="97"/>
      <c r="G429" s="97"/>
      <c r="H429" s="113"/>
      <c r="I429" s="108">
        <f>G429/$G$433</f>
        <v>0</v>
      </c>
    </row>
    <row r="430" spans="1:9" s="71" customFormat="1" ht="15">
      <c r="A430" s="114">
        <f t="shared" si="13"/>
        <v>368</v>
      </c>
      <c r="B430" s="37"/>
      <c r="C430" s="37" t="s">
        <v>158</v>
      </c>
      <c r="D430" s="70"/>
      <c r="E430" s="98">
        <f aca="true" t="shared" si="14" ref="E430:G431">E431</f>
        <v>0</v>
      </c>
      <c r="F430" s="98">
        <f t="shared" si="14"/>
        <v>0</v>
      </c>
      <c r="G430" s="98">
        <f t="shared" si="14"/>
        <v>735022</v>
      </c>
      <c r="H430" s="113"/>
      <c r="I430" s="108">
        <f>G430/$G$433</f>
        <v>0.012129763861359595</v>
      </c>
    </row>
    <row r="431" spans="1:9" s="73" customFormat="1" ht="12.75">
      <c r="A431" s="114">
        <f t="shared" si="13"/>
        <v>369</v>
      </c>
      <c r="B431" s="62">
        <v>92195</v>
      </c>
      <c r="C431" s="62" t="s">
        <v>7</v>
      </c>
      <c r="D431" s="72"/>
      <c r="E431" s="99">
        <f>E432</f>
        <v>0</v>
      </c>
      <c r="F431" s="99">
        <f t="shared" si="14"/>
        <v>0</v>
      </c>
      <c r="G431" s="99">
        <f t="shared" si="14"/>
        <v>735022</v>
      </c>
      <c r="H431" s="113"/>
      <c r="I431" s="108">
        <f>G431/$G$433</f>
        <v>0.012129763861359595</v>
      </c>
    </row>
    <row r="432" spans="1:9" s="166" customFormat="1" ht="12.75">
      <c r="A432" s="114">
        <f t="shared" si="13"/>
        <v>370</v>
      </c>
      <c r="B432" s="162">
        <v>6200</v>
      </c>
      <c r="C432" s="162" t="s">
        <v>280</v>
      </c>
      <c r="D432" s="163"/>
      <c r="E432" s="164">
        <v>0</v>
      </c>
      <c r="F432" s="164">
        <v>0</v>
      </c>
      <c r="G432" s="164">
        <v>735022</v>
      </c>
      <c r="H432" s="165"/>
      <c r="I432" s="108">
        <f>G432/$G$433</f>
        <v>0.012129763861359595</v>
      </c>
    </row>
    <row r="433" spans="1:9" s="6" customFormat="1" ht="12.75">
      <c r="A433" s="158">
        <f t="shared" si="13"/>
        <v>371</v>
      </c>
      <c r="B433" s="167"/>
      <c r="C433" s="168" t="s">
        <v>5</v>
      </c>
      <c r="D433" s="169" t="e">
        <f>#REF!+D420+D396+#REF!+D259+D226+D170+D164+D149+D121+#REF!+D68+#REF!+D57+#REF!</f>
        <v>#REF!</v>
      </c>
      <c r="E433" s="170">
        <f>E430+E420+E396+E336+E259+E226+E170+E164+E149+E121+E113+E68+E57</f>
        <v>30845201.83</v>
      </c>
      <c r="F433" s="170">
        <f>F430+F420+F396+F336+F259+F226+F170+F164+F149+F121+F113+F68+F57</f>
        <v>29011672.380000003</v>
      </c>
      <c r="G433" s="170">
        <f>G430+G420+G396+G336+G259+G226+G170+G164+G149+G121+G113+G68+G57</f>
        <v>60596563</v>
      </c>
      <c r="H433" s="124">
        <f>F433/E433</f>
        <v>0.940557061026694</v>
      </c>
      <c r="I433" s="157">
        <f>G433/$G$433</f>
        <v>1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2007-11-08T12:06:27Z</cp:lastPrinted>
  <dcterms:created xsi:type="dcterms:W3CDTF">2000-09-26T13:15:05Z</dcterms:created>
  <dcterms:modified xsi:type="dcterms:W3CDTF">2007-12-21T08:48:37Z</dcterms:modified>
  <cp:category/>
  <cp:version/>
  <cp:contentType/>
  <cp:contentStatus/>
</cp:coreProperties>
</file>