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/>
  <calcPr fullCalcOnLoad="1"/>
</workbook>
</file>

<file path=xl/sharedStrings.xml><?xml version="1.0" encoding="utf-8"?>
<sst xmlns="http://schemas.openxmlformats.org/spreadsheetml/2006/main" count="829" uniqueCount="729">
  <si>
    <t xml:space="preserve">     i sportowe dla 39 uczniów</t>
  </si>
  <si>
    <t>i/ stypendia (naukowe 70 uczniów, sportowe 41 uczniów)</t>
  </si>
  <si>
    <t>12/zakup książek -szkoły wiejskie</t>
  </si>
  <si>
    <t>13/ odpisy na zakładowy fundusz świadczeń socjalnych</t>
  </si>
  <si>
    <t>14/ nagrody dla dyrektorów placówek oświatowych</t>
  </si>
  <si>
    <t xml:space="preserve">       (w tym: sfinansowane z bud.państwa-30 527,95 zł,tj.34%)</t>
  </si>
  <si>
    <t>11.prace społecznie użyteczne</t>
  </si>
  <si>
    <t xml:space="preserve">12.realizacja programu "Opieka nad dzieckiem </t>
  </si>
  <si>
    <t>i rodziną"</t>
  </si>
  <si>
    <t>4.podreczniki i stroje dla uczniów</t>
  </si>
  <si>
    <t>5.dokształcanie i doskonalenie nauczycieli</t>
  </si>
  <si>
    <t>6. odpisy na zakładowy fundusz świadczeń socjalnych</t>
  </si>
  <si>
    <t>3.zakup materiałów- oświetlenie świąteczne</t>
  </si>
  <si>
    <t>1.projekt na rozbudowę sieci wod.-kan.-ul.Wąska</t>
  </si>
  <si>
    <t>2.projekt budowlany-budowa przepompowni-Wodna</t>
  </si>
  <si>
    <t xml:space="preserve">5.budowa i przebudowa ul.Nowomyśliwskiej </t>
  </si>
  <si>
    <t>6.budowa zespołów zielonych parkingów Komunalna</t>
  </si>
  <si>
    <t>12.wykonanie studni chłonnej ul.Myśliwska</t>
  </si>
  <si>
    <t>13.remont wiaduktu w m.Lubin</t>
  </si>
  <si>
    <t>14.projekt budowlany-remont drogi w ul.Wesołej</t>
  </si>
  <si>
    <t>15.projekt budowlany-remont drogi w ul.Zdrojowej...</t>
  </si>
  <si>
    <t>16.wniosek aplikacyjny-uzbrojenie terenów</t>
  </si>
  <si>
    <t>17.koncepcja archtektoniczno-urbanistyczna</t>
  </si>
  <si>
    <t>ul.Zdrojowa i Promenada Gwiazd</t>
  </si>
  <si>
    <t xml:space="preserve">18.zakup programu komputerowego w celu zaprowadzenia </t>
  </si>
  <si>
    <t>19.projekt hali targowej-ul.Boh.Warszawy</t>
  </si>
  <si>
    <t>20.witacz w ciągu drogi wojewódzkiej nr 102</t>
  </si>
  <si>
    <t>21.toaleta socjalno-bytowa i kontener-parking</t>
  </si>
  <si>
    <t>3.docieplenie budynku ul.Ludowa i infrastruktura</t>
  </si>
  <si>
    <t>4.remont mieszkań komunalnych - MTBS</t>
  </si>
  <si>
    <t>5.opracowanie projektu na budowę budynku mieszkalnego</t>
  </si>
  <si>
    <t>2.remont przyziemia kaplicy na cmentarzu</t>
  </si>
  <si>
    <t>1.klimatyzacja Sali Ślubów i pomieszczeń biurowych</t>
  </si>
  <si>
    <t>2.remont Sali Ślubów (ułożenie terakoty..)</t>
  </si>
  <si>
    <t>3.rozbudowa centrali telefonicznej</t>
  </si>
  <si>
    <t>4.modernizacja sieci komputerowej</t>
  </si>
  <si>
    <t>5.remont dachu budynku urzędu</t>
  </si>
  <si>
    <t>6.zakup komputerów</t>
  </si>
  <si>
    <t>7.zakup zestawu konferencyjnego -nagłośnienie</t>
  </si>
  <si>
    <t>8.samoobsługowy kiosk multimedialny-promocja</t>
  </si>
  <si>
    <t>9.kserokopiarka</t>
  </si>
  <si>
    <t>10.program antywirusowy</t>
  </si>
  <si>
    <t>3.modernizacja ogrodzenia -przedszkole</t>
  </si>
  <si>
    <t>4.modernizacja ścieżki na placu zabaw-przedszkole</t>
  </si>
  <si>
    <t>6.zakup pralnicy z suszarką oraz patelni gastronomicznej dla przedszkola</t>
  </si>
  <si>
    <t>7.zakup patelni dla gimnazjum</t>
  </si>
  <si>
    <t>8.budowa boiska sportowego-gimnazjum</t>
  </si>
  <si>
    <t>17.rozbudowa hali sportowej -szkoła nr 1</t>
  </si>
  <si>
    <t>18.projekt budowlany-hala sportowa szkoła nr 2</t>
  </si>
  <si>
    <t>19.projekt budowlany budowa boiska wielofunkcyjnego</t>
  </si>
  <si>
    <t>szkoła nr 2</t>
  </si>
  <si>
    <t>10.projekt budowlany -budowa hali sportowej gimnazjum</t>
  </si>
  <si>
    <t>9.opracowanie dokumentacji na budowę boiska sportowego-gimnazjum</t>
  </si>
  <si>
    <t>11.wymiana okien w budynku głównym gimnazjum</t>
  </si>
  <si>
    <t>12.adaptacja gabinetu reedukatora</t>
  </si>
  <si>
    <t>13.remont stołówki w szkole nr 1</t>
  </si>
  <si>
    <t>14.hala sportowa-projekt-szkoła nr 1</t>
  </si>
  <si>
    <t>15.projekt budowlany remontu boiska-szkoła nr 1</t>
  </si>
  <si>
    <t>16.urządzenie palcu zabaw w przedszkolu</t>
  </si>
  <si>
    <t>1.projekt budowlany -rozbudowa placu zabaw przy hotelu Amber Baltic</t>
  </si>
  <si>
    <t xml:space="preserve">3.budowa oświetlenia drogowego ul.Wodziczki i Nowomyśliwska </t>
  </si>
  <si>
    <t>5.dotacja dla Zakładu Wodociągów i Kanalizacji z przeznaczeniem na:</t>
  </si>
  <si>
    <t xml:space="preserve">   ujęciu wody w Międzyzdrojach</t>
  </si>
  <si>
    <t xml:space="preserve">  a/ zakup agregatu pompowego do studni nr 8a na komunalnym</t>
  </si>
  <si>
    <t xml:space="preserve">    P-1 w Lubinie</t>
  </si>
  <si>
    <t xml:space="preserve">  b/uruchomienie i doposażenie pompowni ścieków sanitarnych </t>
  </si>
  <si>
    <t xml:space="preserve">  c/zakup instalacji sterującej wraz z kosztami dojazdu i monatażu-</t>
  </si>
  <si>
    <t xml:space="preserve">    zmiana funkcji sterowania zaworem CLA-VAL w stacji uzdatniania</t>
  </si>
  <si>
    <t xml:space="preserve">    wody</t>
  </si>
  <si>
    <t xml:space="preserve">  d/ na wymianę sieci wodociągowej oraz istniejących przyłączy</t>
  </si>
  <si>
    <t xml:space="preserve">     w ul.Dobrej</t>
  </si>
  <si>
    <t>4.dotacja dla Zakładu Ochrony Środowiska z przeznaczeniem na:</t>
  </si>
  <si>
    <t xml:space="preserve"> a/ na zakup samochodu do wywozu odpadów  </t>
  </si>
  <si>
    <t xml:space="preserve"> b/ wykup samochodu ciężarowego</t>
  </si>
  <si>
    <t>6.rekultywacja składowiska odpadów komunalnych</t>
  </si>
  <si>
    <t>7.stacja uzdatniania wody</t>
  </si>
  <si>
    <t>8.rozbudowa sieci wodno-kanalizacyjnej w ul.Mierniczej</t>
  </si>
  <si>
    <t>9.dotacja dla Gminy Golczewo na budowę schroniska dla</t>
  </si>
  <si>
    <t>10.zakup pompy typu Flugt 3171 180 LT 611</t>
  </si>
  <si>
    <t>11.dotacja dla ZGWW na uporządkowanie gospodarki</t>
  </si>
  <si>
    <t>2.dotacja celowa -przełożenie pokrycia dachowego kościół</t>
  </si>
  <si>
    <t>w Lubinie</t>
  </si>
  <si>
    <t>3.dotacja z przeznaczeniem na 15% dofinansowanie robót budowlanych</t>
  </si>
  <si>
    <t>4.projekt budowlany na budowę amfiteatru wraz z zabudową</t>
  </si>
  <si>
    <t>5.wykonanie przyłączy do kontenerów-amfiteatr</t>
  </si>
  <si>
    <t>6.opracowanie koncepcji budowy biblioteki miejskiej</t>
  </si>
  <si>
    <t>7.projekt budowy budynku usługowo-kawiarnia Chopin</t>
  </si>
  <si>
    <t>5.dotacja celowa z przeznaczeniem na remont budynku</t>
  </si>
  <si>
    <t>Komendy Powiatowej Policji</t>
  </si>
  <si>
    <t xml:space="preserve">     (14 etatów nauczycieli i 16 etatów prac.obsługi)</t>
  </si>
  <si>
    <t xml:space="preserve">     11/malowanie sal po obozie</t>
  </si>
  <si>
    <t xml:space="preserve">     12/prowizje bankowe</t>
  </si>
  <si>
    <t xml:space="preserve">     13/usługi telefoniczne </t>
  </si>
  <si>
    <t>4/ dotacja z budżetu gminy z przeznaczeniem na inwestycje</t>
  </si>
  <si>
    <t>1/ wynagrodzenia i składki ZUS (28,4 et.)</t>
  </si>
  <si>
    <t>Stan środków obrotowych na  31.12.2007r..  wyniósł</t>
  </si>
  <si>
    <t xml:space="preserve">Zakład Wodociągów i Kanalizacji w roku 2007r. nie wypracował nadwyżki środków obrotowych. </t>
  </si>
  <si>
    <t>Stan środków obrotowych na początek roku w kwocie plus  65 190,72 zł uległ zmniejszeniu do kwoty</t>
  </si>
  <si>
    <t>plus</t>
  </si>
  <si>
    <t>wynoszą 2 130,32 zł.</t>
  </si>
  <si>
    <t>Stan należności na 31.12.2007r.wynosi 389 813,52 zł, stan środków pieniężnych  wynosi 83 060,04 zł.</t>
  </si>
  <si>
    <t xml:space="preserve">Stan zobowiązań ogółem na 31.12.2007r.wynosi  423 119,46 zł, z czego zobowiązania wymagalne </t>
  </si>
  <si>
    <t>wynoszą  6585,91 zł.</t>
  </si>
  <si>
    <t>Zakład Ochrony Środowiska w roku 2007r. nie wypracował nadwyżki środków obrotowych. Ujemny stan</t>
  </si>
  <si>
    <t>4/ dotacja celowa z przeznaczeniem na inwestycje</t>
  </si>
  <si>
    <t xml:space="preserve">    Molo-20 012,27 zł</t>
  </si>
  <si>
    <t>1/ wynagrodzenia i składki ZUS 26 pracowników</t>
  </si>
  <si>
    <t>8/ remonty samochodów</t>
  </si>
  <si>
    <t>17/ zakup samochodu śmieciarki</t>
  </si>
  <si>
    <t>18/wykup samochodu z leasingu</t>
  </si>
  <si>
    <t>Stan środków obrotowych na 31.12.2007 r. wyniósł</t>
  </si>
  <si>
    <t xml:space="preserve">środków obrotowych na początek roku z kwoty minus 99 564,9 zł uległ zmniejszeniu do kwoty </t>
  </si>
  <si>
    <t>minus 8 326,14 zł.</t>
  </si>
  <si>
    <t xml:space="preserve">Stan zobowiązań ogółem na 31.12.2007r.wynosi  302750,82 zł, z czego zobowiązania wymagalne </t>
  </si>
  <si>
    <t xml:space="preserve">Stan należności na 31.12.2007r.wynosi 254 666,31 zł, stan środków pieniężnych wynosi 22 468,01 zł </t>
  </si>
  <si>
    <t>oraz  materiałów  17 290,36 zł.</t>
  </si>
  <si>
    <t>3/ wpływy z różnych dochodów</t>
  </si>
  <si>
    <t>5/konserwacja rowów melioracyjnych</t>
  </si>
  <si>
    <t>Stan środków obrotowych na  31.12.2007r. wyniósł</t>
  </si>
  <si>
    <t>Stan zobowiązań ogółem na 31.12.2007r.wynosi 0 zł.</t>
  </si>
  <si>
    <t>Stan należności na 31.12.2007r.wynosi  12,21 zł oraz stan środków pieniężnych wynosi  23 722,39 zł .</t>
  </si>
  <si>
    <t>1.remont toalet-szkoła nr 1</t>
  </si>
  <si>
    <t>2.zakup kserokopiarki dla szkoły nr 1</t>
  </si>
  <si>
    <t xml:space="preserve">   towarzyszącą przy ul.Boh.Warszawy oraz zakup ławek jako</t>
  </si>
  <si>
    <t xml:space="preserve">   pierwszego wyposażenia amfiteatru</t>
  </si>
  <si>
    <t>2.budowa zjazdu na plażę -ul.Cicha</t>
  </si>
  <si>
    <t>3.przebudowa ul.Mickiewicza i Rybackiej</t>
  </si>
  <si>
    <t xml:space="preserve">4.opracowanie dokumentacji i przebudowa ul.Promenada Gwiazd </t>
  </si>
  <si>
    <t>7.przebudowa drogi w ul.Ludowej i 1000-lecia PP</t>
  </si>
  <si>
    <t>8.remont ul.Dobrej i parkingu przy Wzgórzu Zielonka oraz budowa</t>
  </si>
  <si>
    <t>9.dokumentacja i utwardzenie nawierzchni pod punkty handlowe</t>
  </si>
  <si>
    <t>10.dokumentacja na przebudowę ul.Kolejowej</t>
  </si>
  <si>
    <t xml:space="preserve">11.dokumentacja na remont ul.Książąt Pomorskich </t>
  </si>
  <si>
    <t>2/ wpływy z usług - stadion</t>
  </si>
  <si>
    <t xml:space="preserve">    ( w tym stadion -</t>
  </si>
  <si>
    <t>)</t>
  </si>
  <si>
    <t>5/ odkomarzanie</t>
  </si>
  <si>
    <t>6/ raty leasingowe- samochód MERCEDES</t>
  </si>
  <si>
    <t>7/ wywóz odpadów komunalnych na wysypisko</t>
  </si>
  <si>
    <t>12/ podatek od nieruchomości</t>
  </si>
  <si>
    <t>13/ podatek VAT</t>
  </si>
  <si>
    <t>14/ odpis na ZFŚS</t>
  </si>
  <si>
    <t xml:space="preserve">    opadowych i roztopowych </t>
  </si>
  <si>
    <t>Opis dochodów   w  zł</t>
  </si>
  <si>
    <t>w tym :</t>
  </si>
  <si>
    <t>OŚWIATA  I  WYCHOWANIE</t>
  </si>
  <si>
    <t>z tego: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</si>
  <si>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</si>
  <si>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</si>
  <si>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</si>
  <si>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</si>
  <si>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</si>
  <si>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</si>
  <si>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 xml:space="preserve">   szkoła podstawowa nr 1</t>
  </si>
  <si>
    <t>w tym:</t>
  </si>
  <si>
    <t>DOCHODY  OD  OSÓB  PRAWNYCH, OSÓB FIZYCZNYCH</t>
  </si>
  <si>
    <t xml:space="preserve">  zadań z zakresu spraw obywatelskich/ewid.ludn. i USC/ </t>
  </si>
  <si>
    <t>RÓŻNE  ROZLICZENIA</t>
  </si>
  <si>
    <t xml:space="preserve"> D O C H O D Y     O G Ó Ł E M</t>
  </si>
  <si>
    <t>Opis wydatków  w zł</t>
  </si>
  <si>
    <t>1.utrzymanie szkoły podstawowej nr 1</t>
  </si>
  <si>
    <t xml:space="preserve">   w tym:</t>
  </si>
  <si>
    <t xml:space="preserve">   a/szkoła nr 1</t>
  </si>
  <si>
    <t xml:space="preserve">   b/szkoła nr 2</t>
  </si>
  <si>
    <t>OCHRONA  ZDROWIA</t>
  </si>
  <si>
    <t>KULTURA  FIZYCZNA  I  SPORT</t>
  </si>
  <si>
    <t>1.zadania  zlecone - sprawy obywatelskie</t>
  </si>
  <si>
    <t>Wydatki inwestycyjne i majątkowe - ogółem</t>
  </si>
  <si>
    <t xml:space="preserve">O G Ó Ł E M       W Y D A T K I </t>
  </si>
  <si>
    <t>ROLNICTWO  I  ŁOWIECTWO</t>
  </si>
  <si>
    <t>Dział 630</t>
  </si>
  <si>
    <t>TURYSTYKA</t>
  </si>
  <si>
    <t>Dział 700</t>
  </si>
  <si>
    <t>GOSPODARKA  MIESZKANIOWA</t>
  </si>
  <si>
    <t xml:space="preserve">   nieruchomości</t>
  </si>
  <si>
    <t xml:space="preserve">   Państwa  lub jedn.samorządu teryt.oraz innych</t>
  </si>
  <si>
    <t xml:space="preserve">   umów o podobnym charakterze</t>
  </si>
  <si>
    <t xml:space="preserve">   przysług.osobom fizycznym w prawo wlasności</t>
  </si>
  <si>
    <t>Dział 750</t>
  </si>
  <si>
    <t>ADMINISTRACJA  PUBLICZNA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</si>
  <si>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</si>
  <si>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</si>
  <si>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</si>
  <si>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</si>
  <si>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</si>
  <si>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I  OD INNYCH.....</t>
  </si>
  <si>
    <t>1.podatek od działalności gospodarczej osób fizycznych</t>
  </si>
  <si>
    <t>Dział 758</t>
  </si>
  <si>
    <t>Dział 801</t>
  </si>
  <si>
    <t>Dział 854</t>
  </si>
  <si>
    <t>EDUKACYJNA OPIEKA WYCHOWAWCZA</t>
  </si>
  <si>
    <t>Dział 900</t>
  </si>
  <si>
    <t>Dział 600</t>
  </si>
  <si>
    <t>TRANSPORT I ŁĄCZNOŚĆ</t>
  </si>
  <si>
    <t>Wydatki bieżące ogółem</t>
  </si>
  <si>
    <t xml:space="preserve">   ( wyceny nieruchomości,ogłoszenia o prztargach i inne)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</si>
  <si>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</si>
  <si>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</si>
  <si>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</si>
  <si>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</si>
  <si>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</si>
  <si>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</si>
  <si>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</si>
  <si>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</si>
  <si>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Dział 757</t>
  </si>
  <si>
    <t>OBSŁUGA DŁUGU PUBLICZNEGO</t>
  </si>
  <si>
    <t>2.odsetki od pożyczek i kredytów</t>
  </si>
  <si>
    <t>RÓŻNE ROZLICZENIA</t>
  </si>
  <si>
    <t>Dział 851</t>
  </si>
  <si>
    <t>1.utrzymanie świetlic szkolnych ( szkoła nr 1 i gimnazjum)</t>
  </si>
  <si>
    <t>GOSPODARKA  KOMUNALNA I OCHRONA ŚRODOWISKA</t>
  </si>
  <si>
    <t>KULTURA  I OCHRONA DZIEDZICTWA NARODOWEGO</t>
  </si>
  <si>
    <t>1.dotacja dla Międzynarodowego Domu Kultury</t>
  </si>
  <si>
    <t xml:space="preserve">2.dotacja dla  biblioteki </t>
  </si>
  <si>
    <t>Dział 926</t>
  </si>
  <si>
    <t>Dział 921</t>
  </si>
  <si>
    <t xml:space="preserve">P r z y c h o d y   ogółem wynoszą </t>
  </si>
  <si>
    <t>w tym m.in.:</t>
  </si>
  <si>
    <t>Zakład Wodociągów i Kanalizacji w Międzyzdrojach</t>
  </si>
  <si>
    <t>1 /wpływy z tyt.dostawy wody pitnej</t>
  </si>
  <si>
    <t>2/ wpływy z tyt.oczyszczania i odprowadzania ścieków</t>
  </si>
  <si>
    <t>2/ wydatki na zakup materiałów, a w szczególności</t>
  </si>
  <si>
    <t xml:space="preserve">   części zamiennych,materiałów konserwacyjnych </t>
  </si>
  <si>
    <t xml:space="preserve">   paliwa do samochodów,odzieży roboczej i ochronnej,</t>
  </si>
  <si>
    <t xml:space="preserve">   środków czystości,materiałów biurowych itp..</t>
  </si>
  <si>
    <t>6/ podatki i opłaty na rzecz budżetu :</t>
  </si>
  <si>
    <t xml:space="preserve">    -podatek od nieruchomości</t>
  </si>
  <si>
    <t xml:space="preserve">    -opłaty za szczególne korzystanie</t>
  </si>
  <si>
    <t xml:space="preserve">     z wód  i środowiska</t>
  </si>
  <si>
    <t>Zakład Ochrony Środowiska w Międzyzdrojach</t>
  </si>
  <si>
    <t>1/ sprzedaż usług: oczyszczanie miasta,wywóz</t>
  </si>
  <si>
    <t xml:space="preserve">    wysypiska , itp.</t>
  </si>
  <si>
    <t>2/ zakup materiałów,paliwa,części zamiennych,</t>
  </si>
  <si>
    <t>Gminny Fundusz Ochrony Środowiska i Gospodarki Wodnej</t>
  </si>
  <si>
    <t>Dział O10</t>
  </si>
  <si>
    <t>wydatki</t>
  </si>
  <si>
    <t>realiz.</t>
  </si>
  <si>
    <t>plan</t>
  </si>
  <si>
    <t>wykonanie</t>
  </si>
  <si>
    <t>Strukt.</t>
  </si>
  <si>
    <t xml:space="preserve">    z tego:</t>
  </si>
  <si>
    <t xml:space="preserve">    b/ spłata udzielonej pożyczki przez ZOŚ</t>
  </si>
  <si>
    <t xml:space="preserve">    c/ wolne środki na rachunku Gminy</t>
  </si>
  <si>
    <t xml:space="preserve">    d/ kredyt w rachunku bieżącym</t>
  </si>
  <si>
    <t>1/ Przychody</t>
  </si>
  <si>
    <t>razem</t>
  </si>
  <si>
    <t>2/ Rozchody</t>
  </si>
  <si>
    <t xml:space="preserve">3/ Przychody minus rozchody wynoszą </t>
  </si>
  <si>
    <t>DZIAŁALNOŚĆ USŁUGOWA</t>
  </si>
  <si>
    <t xml:space="preserve">   a/subwencja na zadania oświatowe</t>
  </si>
  <si>
    <t>2/ dzierżawy sal lekcyjnych,gimnastycznych</t>
  </si>
  <si>
    <t xml:space="preserve">   gimnazjum</t>
  </si>
  <si>
    <t>3/wpływy z usług (odpłatność za wyżywienie)</t>
  </si>
  <si>
    <t xml:space="preserve">Dochody ogółem </t>
  </si>
  <si>
    <t>Dochody ogółem</t>
  </si>
  <si>
    <t xml:space="preserve">   c/gimnazjum</t>
  </si>
  <si>
    <t>1.utrzymanie dróg publicznych powiatowych</t>
  </si>
  <si>
    <t>2.utrzymanie dróg publicznych gminnych</t>
  </si>
  <si>
    <t xml:space="preserve">1.prowizja z tytułu gwarancji bankowej i kredytów </t>
  </si>
  <si>
    <t xml:space="preserve">   w tym m.in..:</t>
  </si>
  <si>
    <t xml:space="preserve">   a/wynagrodzenia i składki ZUS nauczycieli</t>
  </si>
  <si>
    <t xml:space="preserve">   b/wynagrodzenia i składki ZUS pracowników</t>
  </si>
  <si>
    <t xml:space="preserve">   c/wynagrodzenia i składki ZUS pracowników</t>
  </si>
  <si>
    <t>realizacja</t>
  </si>
  <si>
    <t xml:space="preserve">      z tego m.inn.:</t>
  </si>
  <si>
    <t xml:space="preserve">      1/zakup opału</t>
  </si>
  <si>
    <t xml:space="preserve">      6/zakup środków żywności</t>
  </si>
  <si>
    <t xml:space="preserve">      3/energia</t>
  </si>
  <si>
    <t xml:space="preserve">      4/ woda</t>
  </si>
  <si>
    <t xml:space="preserve">      5/naprawy i konserwacje</t>
  </si>
  <si>
    <t xml:space="preserve">       socjalnych</t>
  </si>
  <si>
    <t>2.utrzymanie szkoły podstawowej nr 2</t>
  </si>
  <si>
    <t xml:space="preserve">   d/dodatek wiejski i dod.mieszkaniowe</t>
  </si>
  <si>
    <t xml:space="preserve">      3/energia,gaz i paliwo</t>
  </si>
  <si>
    <t xml:space="preserve">    dla nauczycieli emerytów i rencistów</t>
  </si>
  <si>
    <t>K o s z t y   ogółem wynoszą</t>
  </si>
  <si>
    <t>P r z y c h o d y   ogółem wynoszą</t>
  </si>
  <si>
    <t>2/ odsetki</t>
  </si>
  <si>
    <t>K o s z t y    ogółem wynoszą</t>
  </si>
  <si>
    <t xml:space="preserve">    a/ kredyty bankowe i pożyczki</t>
  </si>
  <si>
    <t xml:space="preserve">   opłacany w formie karty podatkowej i odsetki</t>
  </si>
  <si>
    <t xml:space="preserve">   szkoła podstawowa nr 2</t>
  </si>
  <si>
    <t>1/ wpływy z różnych opłat i innych dochodów</t>
  </si>
  <si>
    <t xml:space="preserve">    (awans zawodowy nauczycieli)</t>
  </si>
  <si>
    <t>3.dotacja na Festiwal Pieśni Chóralnej</t>
  </si>
  <si>
    <t>3/ zakup energii i wody</t>
  </si>
  <si>
    <t>4/ zakup usług remontowych (usługi naprawcze</t>
  </si>
  <si>
    <t xml:space="preserve">    i konserwacyjne środków transportu,maszyn,urzadzeń</t>
  </si>
  <si>
    <t>5/ zakup usług pozostałych ( transportowe,komputerowe</t>
  </si>
  <si>
    <t xml:space="preserve">    a także kominiarskie,prawnicze, wywóz nieczystości</t>
  </si>
  <si>
    <t xml:space="preserve">    opłaty pocztowe,bankowe i telefoniczne,badania</t>
  </si>
  <si>
    <t xml:space="preserve">    wody i ścieków ,itp..)</t>
  </si>
  <si>
    <t xml:space="preserve">    sprzętu itp..)</t>
  </si>
  <si>
    <t xml:space="preserve">    a/ spłaty kredytów i pożyczek</t>
  </si>
  <si>
    <t xml:space="preserve">   na dofinansowanie utrzymania dróg powiatowych</t>
  </si>
  <si>
    <t>1.wpływy z opłat za zarząd, użytkowanie i użytk.wieczyste</t>
  </si>
  <si>
    <t>2.dochody z najmu i dzierżawy skł.majątkowych Skarbu</t>
  </si>
  <si>
    <t>3.wpływy z tyt.przekształcenia prawa użytk. wieczyst.</t>
  </si>
  <si>
    <t xml:space="preserve">4.wpłaty z tyt.odpłatnego nabycia prawa własności </t>
  </si>
  <si>
    <t xml:space="preserve">   na ubezpieczenia społeczne</t>
  </si>
  <si>
    <t xml:space="preserve">      7/materiały biurowe,wydawnictwa,druki i inne</t>
  </si>
  <si>
    <t>Podatek dochodowy od osób prawnych</t>
  </si>
  <si>
    <t>1.gospodarka gruntami i nieruchomościami</t>
  </si>
  <si>
    <t xml:space="preserve">   Gminę na przedsięwzięcie termomodernizacyjne wraz z odsetkami</t>
  </si>
  <si>
    <t>1. Dotacja na prowadzenie i aktualizację rejestu wyborców</t>
  </si>
  <si>
    <t>EKUKACYJNA OPIEKA WYCHOWAWCZA</t>
  </si>
  <si>
    <t>1.aktualizacja rejestru wyborców</t>
  </si>
  <si>
    <t xml:space="preserve">      kuchni ( 3etaty)</t>
  </si>
  <si>
    <t xml:space="preserve">   e/odpisy na zakł.fundusz świadczeń socjal.</t>
  </si>
  <si>
    <t xml:space="preserve">     15/prowizje bankowe</t>
  </si>
  <si>
    <t>3/ zakup energii elektrycznej i gazu</t>
  </si>
  <si>
    <t xml:space="preserve">    -odsetki z tyt.nieterminowej płatności podatków i składek ZUS</t>
  </si>
  <si>
    <t xml:space="preserve">   </t>
  </si>
  <si>
    <t xml:space="preserve">2.opracowania geodezyjne i kartograficzne </t>
  </si>
  <si>
    <t>2.utrzymanie Rady Miejskiej</t>
  </si>
  <si>
    <t>4.komisje poborowe</t>
  </si>
  <si>
    <t>3.utrzymanie  Urzędu Miejskiego</t>
  </si>
  <si>
    <t xml:space="preserve">1.utrzymanie czystości  </t>
  </si>
  <si>
    <t xml:space="preserve">2.utrzymanie zieleni </t>
  </si>
  <si>
    <t>4.oświetlenie ulic (energia)</t>
  </si>
  <si>
    <t xml:space="preserve">    Recal z siedzibą w Warszawie</t>
  </si>
  <si>
    <t xml:space="preserve">f/odpisy na zakładowy fundusz świadczeń </t>
  </si>
  <si>
    <t>2.podatek od nieruchomości</t>
  </si>
  <si>
    <t xml:space="preserve">3.podatek rolny </t>
  </si>
  <si>
    <t xml:space="preserve">4. podatek leśny </t>
  </si>
  <si>
    <t>5. podatek od środków transportowych</t>
  </si>
  <si>
    <t>6.podatek od spadków i darowizn</t>
  </si>
  <si>
    <t>7.podatek od posiadania psów</t>
  </si>
  <si>
    <t>8.wpływy z opłaty targowej</t>
  </si>
  <si>
    <t xml:space="preserve">    z czego przypada na:</t>
  </si>
  <si>
    <t xml:space="preserve">    szkoły podstawowe</t>
  </si>
  <si>
    <t xml:space="preserve">    gimnazjum</t>
  </si>
  <si>
    <t xml:space="preserve">   przedszkole</t>
  </si>
  <si>
    <t xml:space="preserve">    przedszkole(opłata wynikająca z Uchwały Rady Miejskiej i inne)</t>
  </si>
  <si>
    <t>Dział 852</t>
  </si>
  <si>
    <t>POMOC SPOŁECZNA</t>
  </si>
  <si>
    <t>1.wpływy z udostępnienia placówek oświatowych na kolonie</t>
  </si>
  <si>
    <t>POMOC  SPOŁECZNA</t>
  </si>
  <si>
    <t xml:space="preserve">     przedszkole</t>
  </si>
  <si>
    <t xml:space="preserve">      5/zakup środków żywności</t>
  </si>
  <si>
    <t xml:space="preserve">      6/materiały biurowe,wydawnictwa i druki</t>
  </si>
  <si>
    <t xml:space="preserve">      8/zawody i imprezy dla dzieci</t>
  </si>
  <si>
    <t xml:space="preserve">      9/wiosenny bieg przełajowy</t>
  </si>
  <si>
    <t xml:space="preserve">      10/opłaty za telefony</t>
  </si>
  <si>
    <t xml:space="preserve">      12/prowizje bankowe</t>
  </si>
  <si>
    <t xml:space="preserve">   a/wynagrodzenia osobowe i składki ZUS pracowników</t>
  </si>
  <si>
    <t xml:space="preserve">   b/wydatki rzeczowe</t>
  </si>
  <si>
    <t xml:space="preserve">      z tego m.in.:</t>
  </si>
  <si>
    <t>2.składki na ubezpieczenia zdrowotne</t>
  </si>
  <si>
    <t>3.świadczenia społeczne -zadania zlecone</t>
  </si>
  <si>
    <t xml:space="preserve">4.świadczenia społeczne- zadania  własne </t>
  </si>
  <si>
    <t>3/ wpływy z tyt.pozostałej sprzedaży (wykonanie</t>
  </si>
  <si>
    <t>4/ zakup usług: dezynsekcja,deratyzacja,ścieki,</t>
  </si>
  <si>
    <t xml:space="preserve">    usługi prawne,pocztowe,telefoniczne i inne</t>
  </si>
  <si>
    <t>1. Wpływy z opłat planistycznych i odsetki</t>
  </si>
  <si>
    <t xml:space="preserve">   Problemów Alkoholowych</t>
  </si>
  <si>
    <t xml:space="preserve">   a/ świadczenia rodzinne</t>
  </si>
  <si>
    <t>1.Dotacja celowa ze Starostwa Powiatowego</t>
  </si>
  <si>
    <t>2.Opłaty za zajęcie pasa drogowego</t>
  </si>
  <si>
    <t xml:space="preserve">3.Wpływy z tyt.odsetek </t>
  </si>
  <si>
    <t xml:space="preserve">   1/ raty z tyt.sprzedaży gruntu</t>
  </si>
  <si>
    <t xml:space="preserve">   transportu drogowego taksówką</t>
  </si>
  <si>
    <t>3.dopłaty do biletów z tyt.kosztów stosowania ulg</t>
  </si>
  <si>
    <t xml:space="preserve">   w przewozach pasażerskich</t>
  </si>
  <si>
    <t>3/utrzymanie oddziału przedszkolnego w szkole nr 2</t>
  </si>
  <si>
    <t xml:space="preserve">   (wynagrodzenia,narzuty,fundusz socjalny oraz dod.wiejski </t>
  </si>
  <si>
    <t xml:space="preserve">    i mieszkaniowy -1 etat)</t>
  </si>
  <si>
    <t>4/utrzymanie przedszkola</t>
  </si>
  <si>
    <t>5/ utrzymanie gimnazjum</t>
  </si>
  <si>
    <t>6/ dowożenie uczniów do szkół</t>
  </si>
  <si>
    <t>7/ dokształcanie i doskonalenie nauczycieli</t>
  </si>
  <si>
    <t>8/nagrody dla  uczniów</t>
  </si>
  <si>
    <t>9/wynagrodzenie ekspertów komisji egzaminacyjnej nauczycieli</t>
  </si>
  <si>
    <t>6.opłaty za pobyt w domu pomocy społecznej</t>
  </si>
  <si>
    <t>3.pomoc materialna dla uczniów</t>
  </si>
  <si>
    <t>Opis realizacji planów finansowych zakładów budżetowych i funduszu celowego.</t>
  </si>
  <si>
    <t xml:space="preserve">    czyszczenie i naprawa wpustów ulicznych, </t>
  </si>
  <si>
    <t xml:space="preserve">    pojemników,worków,soli, itp..</t>
  </si>
  <si>
    <t>9/ inne zadania służące ochronie środowiska</t>
  </si>
  <si>
    <t>10/ obsługa rachunku bankowego</t>
  </si>
  <si>
    <t>7.dodatki mieszkaniowe</t>
  </si>
  <si>
    <t>8.utrzymanie Ośrodka Pomocy Społecznej</t>
  </si>
  <si>
    <t xml:space="preserve">9.utrzymanie opiekunek </t>
  </si>
  <si>
    <t>10.posiłek dla potrzebujących</t>
  </si>
  <si>
    <t>GOSPODARKA MIESZKANIOWA</t>
  </si>
  <si>
    <t>Finansowanie prezentuje poniższe zestawienie:</t>
  </si>
  <si>
    <t xml:space="preserve">1.dotacja na świadczenia rodzinne,zaliczki alimentacyjne oraz </t>
  </si>
  <si>
    <t xml:space="preserve">   składki na ubezpieczenia społeczne</t>
  </si>
  <si>
    <t xml:space="preserve">      11/opłata za internet</t>
  </si>
  <si>
    <t xml:space="preserve">   ubezpiecz.emerytalne i rentowe z ubezpieczenia społecznego</t>
  </si>
  <si>
    <t xml:space="preserve">   b/ świadczenia opiekuńcze</t>
  </si>
  <si>
    <t xml:space="preserve">   c/ zaliczki alimentacyjne</t>
  </si>
  <si>
    <t xml:space="preserve">        wynagrodz.i narzuty pracownika oraz inne koszty</t>
  </si>
  <si>
    <t xml:space="preserve">    sieci wodociągowych i kanalizacyjnych, sprzedaż</t>
  </si>
  <si>
    <t xml:space="preserve">    materiałów, usługi świadczone samochodem WUKO,</t>
  </si>
  <si>
    <t xml:space="preserve">    wymiana wodomierzy  i inne)</t>
  </si>
  <si>
    <t>9/ fundusz eksploatacyjno-remontowy -molo</t>
  </si>
  <si>
    <t>10/monitoring i ochrona obiektów</t>
  </si>
  <si>
    <t xml:space="preserve">    nieczystości ,utrzymanie zieleni miejskiej ,</t>
  </si>
  <si>
    <t xml:space="preserve">    d/ składki na ubezpieczenia społeczne od świadczeń </t>
  </si>
  <si>
    <t xml:space="preserve">   e/ koszty obsługi świadczeń rodzinnych-</t>
  </si>
  <si>
    <t>4.Wpływy z tyt.kar umownych (opracowanie dokumentacji</t>
  </si>
  <si>
    <t>10. wpływy z tyt.najmu komunalnych lokali mieszkalnych będących</t>
  </si>
  <si>
    <t xml:space="preserve">      w zarządzie MTBS-u od 01.04.2006r.</t>
  </si>
  <si>
    <t xml:space="preserve">      w zarządzie MTBS-u dotyczące zaległości z lat ubiegłych</t>
  </si>
  <si>
    <t>2. Wpływy z opłat adiacenckich</t>
  </si>
  <si>
    <t>3. Pozostałe odsetki</t>
  </si>
  <si>
    <t>4. Wpływy z różnych dochodów (kary umowne i inne)</t>
  </si>
  <si>
    <t>3.wpływy z tyt sprzedaży SIWZ</t>
  </si>
  <si>
    <t>1.wpłata Gminy na rzecz Izb Rolniczych</t>
  </si>
  <si>
    <t>utrzymanie kąpieliska strzeżonego</t>
  </si>
  <si>
    <t>5.wpłaty gminy na rzecz :</t>
  </si>
  <si>
    <t xml:space="preserve">   Związku Gmin Wyspy Wolin</t>
  </si>
  <si>
    <t xml:space="preserve">   Związku Miast i Gmin Morskich</t>
  </si>
  <si>
    <t xml:space="preserve">   Stowarzyszenia Gmin Polskich Euroregionu POMERANIA</t>
  </si>
  <si>
    <t xml:space="preserve">   Związku Miast Polskich</t>
  </si>
  <si>
    <t xml:space="preserve">      1/zakup gazu</t>
  </si>
  <si>
    <t xml:space="preserve">      13/środki czystości</t>
  </si>
  <si>
    <t xml:space="preserve">  c/odpisy na zakładowy fundusz świadczeń </t>
  </si>
  <si>
    <t xml:space="preserve">     14/usługi informatyczne</t>
  </si>
  <si>
    <t xml:space="preserve">    w szkole nr 1</t>
  </si>
  <si>
    <t>1.zwalczanie narkomanii</t>
  </si>
  <si>
    <t>2.realizacja programu Gminnej Komisji Rozwiązywania</t>
  </si>
  <si>
    <t xml:space="preserve">1.świadczenia rodzinne,zaliczka alimentacyjna oraz składki na </t>
  </si>
  <si>
    <t>2.koszty obsługi kolonii i obozów w szkołach</t>
  </si>
  <si>
    <t xml:space="preserve">5.konserwacja oświetlenia </t>
  </si>
  <si>
    <t>6.iluminacja świąteczna(demontaż i montaż) i inne prace</t>
  </si>
  <si>
    <t>7.dotacja przedmiotowa dla Zakładu Ochrony Środowiska</t>
  </si>
  <si>
    <t>1.utrzymanie sekcji sportowych</t>
  </si>
  <si>
    <t>GOSPODARKA KOMUNALNA I OCHRONA ŚRODOWISKA</t>
  </si>
  <si>
    <t>7/ odpisy na zakładowy fundusz świadczeń socjalnych</t>
  </si>
  <si>
    <t>drogi w ul.Nowomyśliwskiej)</t>
  </si>
  <si>
    <t xml:space="preserve">   nieruchomości (dz.nr nr :88; 230/8; 225/9 ;225/5;</t>
  </si>
  <si>
    <t xml:space="preserve">   91/1; 91/2; 309; 93/2; 230/22; 91/1; 91/2;</t>
  </si>
  <si>
    <t xml:space="preserve">   5/ dz.nr 120/16,pow.912m2-ul.Żwirowa</t>
  </si>
  <si>
    <t xml:space="preserve">   6/ dz.nr 98/1i 98/2,pow.175m2-ul.Al.Róż</t>
  </si>
  <si>
    <t xml:space="preserve">   9/ dz.nr 162/1,pow.663m2-Turkusowa</t>
  </si>
  <si>
    <t xml:space="preserve">   10/ dz.nr 120/18,pow.1049m2-Żwirowa 29</t>
  </si>
  <si>
    <t xml:space="preserve">   2/ udziały w  dz.nr 380,pow.444m2-ul.Ludowa1/4</t>
  </si>
  <si>
    <t xml:space="preserve">   3/ udziały w dz.nr 397,pow.349,39m2-ul.1000lecia PP23/2 </t>
  </si>
  <si>
    <t xml:space="preserve">   4/ dz. nr 37/3,pow.145m2-ul.Zwycięstwa 24a</t>
  </si>
  <si>
    <t xml:space="preserve">   7/ dz.nr 120/5 i 120/13,pow.2940m2-ul.Żwirowa 5</t>
  </si>
  <si>
    <t xml:space="preserve">   8/ dz.nr120/14 i 120/15 pow.1714m2 -Żwirowa25</t>
  </si>
  <si>
    <t xml:space="preserve"> a/ sprzedaż nieruchomości</t>
  </si>
  <si>
    <t xml:space="preserve">   nieruchomości )</t>
  </si>
  <si>
    <t xml:space="preserve">      wczasowego na mieszkalny przy ul.Ludowej 2)</t>
  </si>
  <si>
    <t xml:space="preserve"> b/ sprzedaż gruntu:</t>
  </si>
  <si>
    <t>d/ lokali użytkowych (rata)</t>
  </si>
  <si>
    <t>5.wpływy ze sprzedaży mienia komunalnego:</t>
  </si>
  <si>
    <t>6.odsetki od nieterminowej płatności zobowiązań</t>
  </si>
  <si>
    <t>7.różne dochody ( zwrot kosztów związanych ze sprzedażą</t>
  </si>
  <si>
    <t>8. wpływy z MTBS  tytułem zwrotu nakładów poniesionych przez</t>
  </si>
  <si>
    <t>9. wpływy z tyt.najmu komunalnych lokali mieszkalnych będących</t>
  </si>
  <si>
    <t>11. wpływy z tyt.najmu lokali użytkowych będących w zarządzie MTBS-u</t>
  </si>
  <si>
    <t xml:space="preserve">e/zwrot bonifikaty </t>
  </si>
  <si>
    <t>c/lokali mieszkalnych</t>
  </si>
  <si>
    <t>1.dotacja na zad.zlecone z przeznaczeniem na finansow.</t>
  </si>
  <si>
    <t>2. 5% udział gminy z tyt.poboru opłat za wydanie dowodu osobistego</t>
  </si>
  <si>
    <t>4.pozostałe odsetki</t>
  </si>
  <si>
    <t>5.wpływy z różnych dochodów</t>
  </si>
  <si>
    <t>6.opłata za udzielenie licencji na wykonywanie  krajowego</t>
  </si>
  <si>
    <t>7.wpływy ze sprzedaży ciepła dla BGŻ</t>
  </si>
  <si>
    <t>8.wpływyz tyt.refundacji za energię-skrzynka energ. -promocja</t>
  </si>
  <si>
    <t>9.odsetki od środków na rachunkach bankowych</t>
  </si>
  <si>
    <t>Dochody stanowią wpływy z mandatów</t>
  </si>
  <si>
    <t>9.wpływy z opłaty miejscowej</t>
  </si>
  <si>
    <t xml:space="preserve">   b/zwrot z urzędu skarbowego niesłusznie zapłaconego</t>
  </si>
  <si>
    <t xml:space="preserve">      podatku VAT od opłaty z tyt.użytk.wieczystego</t>
  </si>
  <si>
    <t xml:space="preserve">      </t>
  </si>
  <si>
    <t xml:space="preserve">      za 2005 r. i 2006r.</t>
  </si>
  <si>
    <t>6/ środki na dofinansowanie własnych zadań-</t>
  </si>
  <si>
    <t xml:space="preserve">    Projekt Programu Socrates(szkoła nr 1)</t>
  </si>
  <si>
    <t xml:space="preserve">    zabezpieczenie należytego wykonania umowy-boisko</t>
  </si>
  <si>
    <t xml:space="preserve">     oraz wykonanie projektu budowlanego na rozbudowę</t>
  </si>
  <si>
    <t xml:space="preserve">     hali sportowej wraz z zapleczem przy SP nr 1)</t>
  </si>
  <si>
    <t xml:space="preserve">    pracodawcom kosztów przygotowania zawodowego</t>
  </si>
  <si>
    <t xml:space="preserve">    młodocianych pracowników-zadanie własne</t>
  </si>
  <si>
    <t xml:space="preserve">    (szkoła nr 1-zadanie własne)</t>
  </si>
  <si>
    <t xml:space="preserve">     kary umowne (budowa kotłowni gazowej w przedszkolu</t>
  </si>
  <si>
    <t xml:space="preserve">4/ dotacja z przeznaczeniem na nauczanie języka angielskiego </t>
  </si>
  <si>
    <t>2.należności z tytułu zaliczek alimentacyjnych (50% potrącenia)</t>
  </si>
  <si>
    <t xml:space="preserve">2.wpływy z usług </t>
  </si>
  <si>
    <t xml:space="preserve">   a/szkoła nr 2</t>
  </si>
  <si>
    <t xml:space="preserve">   b/gimnazjum</t>
  </si>
  <si>
    <t>2. opłata produktowa</t>
  </si>
  <si>
    <t>1. kary (stacja uzdatniania wody)</t>
  </si>
  <si>
    <t>3. zwrot dotacji za rok 2006 (ZOŚ)</t>
  </si>
  <si>
    <t>4.przygotowanie parkingu miejskiego</t>
  </si>
  <si>
    <t xml:space="preserve">  komunalnych za 2006 rok oraz windykację zaległości przejętych</t>
  </si>
  <si>
    <t xml:space="preserve">   cmentarz w Międzyzdrojach</t>
  </si>
  <si>
    <t>4.urządzenia miejsca pamięci-cmentarz w Lubiniu</t>
  </si>
  <si>
    <t xml:space="preserve">   Celowy Związek Gmin R-XXI</t>
  </si>
  <si>
    <t>6.zastępcza służba wojskowa</t>
  </si>
  <si>
    <t>7.roboty publiczne-refundowane</t>
  </si>
  <si>
    <t>8.wynagrodzenia z tyt.inkasa podatków i opłat lokalnych</t>
  </si>
  <si>
    <t xml:space="preserve">  od PZM za 2006 rok(koszty utrzymania zasobu od IV do XII </t>
  </si>
  <si>
    <t xml:space="preserve">  605359,59 minus przek.zaliczki 563670,co daje 41689,59 plus</t>
  </si>
  <si>
    <t xml:space="preserve">  za windykację zaległości 21960)</t>
  </si>
  <si>
    <t>9.koszty przygotowania porozumienia gminnego w sprawie</t>
  </si>
  <si>
    <t>uruchomienia w Międzyzdrojach Europejskiego Centrum</t>
  </si>
  <si>
    <t>Różnorodności Biologicznej</t>
  </si>
  <si>
    <t>10.zakup energii-skrzynka energetyczna-promocja</t>
  </si>
  <si>
    <t>11.utrzymanie kotłowni w budynku Urzędu Miejskiego</t>
  </si>
  <si>
    <t>12.wynajem biura-Powiatowy Urząd Pracy</t>
  </si>
  <si>
    <t>1.wpłaty gmin do budżetu państwa</t>
  </si>
  <si>
    <t>2.rezerwa ogólna</t>
  </si>
  <si>
    <t xml:space="preserve">      2/materiały do remontu i konserwacji</t>
  </si>
  <si>
    <t xml:space="preserve">      8/pomoce naukowe</t>
  </si>
  <si>
    <t xml:space="preserve">     9/ przejazdy dzieci na imprezy sportowe</t>
  </si>
  <si>
    <t xml:space="preserve">     10/ utrzymanie UKS "CHROBRY"</t>
  </si>
  <si>
    <t xml:space="preserve">     11/monitoring,usł.komputerowe i program komp.</t>
  </si>
  <si>
    <t xml:space="preserve">     12/opłaty za telefony</t>
  </si>
  <si>
    <t xml:space="preserve">     13/przejazdy dzieci  na imprezy-chór</t>
  </si>
  <si>
    <t xml:space="preserve">     14/dopajanie dzieci</t>
  </si>
  <si>
    <t xml:space="preserve">      1/gaz</t>
  </si>
  <si>
    <t xml:space="preserve">      2/energia </t>
  </si>
  <si>
    <t xml:space="preserve">      3/ woda</t>
  </si>
  <si>
    <t xml:space="preserve">      3/ woda i ścieki</t>
  </si>
  <si>
    <t xml:space="preserve">      4/materiały biurowe i środki czystości</t>
  </si>
  <si>
    <t xml:space="preserve">      5/materiały do konserwacji</t>
  </si>
  <si>
    <t xml:space="preserve">      7/zakup książek i zabawek</t>
  </si>
  <si>
    <t xml:space="preserve">      8/konserwacja dźwigów i naprawa sprzętu</t>
  </si>
  <si>
    <t xml:space="preserve">      9/remont szatni</t>
  </si>
  <si>
    <t xml:space="preserve">     10/wymiana drzwi wewnętrznych</t>
  </si>
  <si>
    <t xml:space="preserve">     13/imprezy(Dzień Dziecka,Dzień Matki,Mikołaj)</t>
  </si>
  <si>
    <t xml:space="preserve">      (28,5 et.)</t>
  </si>
  <si>
    <t xml:space="preserve">      obsługi i administracji (10,75 et.)</t>
  </si>
  <si>
    <t xml:space="preserve">      kuchni (2,5 etaty)</t>
  </si>
  <si>
    <t xml:space="preserve">   d/fundusz na poratowanie zdrowia</t>
  </si>
  <si>
    <t xml:space="preserve">      1/materiały do remontu i konserwacji</t>
  </si>
  <si>
    <t xml:space="preserve">      2/energia</t>
  </si>
  <si>
    <t xml:space="preserve">      4/gaz opałowy</t>
  </si>
  <si>
    <t xml:space="preserve">      5/paliwo do kosiarki </t>
  </si>
  <si>
    <t xml:space="preserve">      6/wymiana okien i remont-sala gimnastyczna  </t>
  </si>
  <si>
    <t xml:space="preserve">      7/zakup środków żywności</t>
  </si>
  <si>
    <t xml:space="preserve">      8/materiały biurowe,wydawnictwa,druki i inne</t>
  </si>
  <si>
    <t xml:space="preserve">      9/zakup wyposażenia klas i biur</t>
  </si>
  <si>
    <t xml:space="preserve">     10/imprezy dla uczniów i zawody sportowe</t>
  </si>
  <si>
    <t xml:space="preserve">     11/monitoring pracowni internetowej</t>
  </si>
  <si>
    <t xml:space="preserve">     13/pomoce dydaktyczne</t>
  </si>
  <si>
    <t xml:space="preserve">     14/prowizje bankowe</t>
  </si>
  <si>
    <t xml:space="preserve">     15/UKS"GIMSPORT"</t>
  </si>
  <si>
    <t xml:space="preserve">     16/awarie,naprawy,nadzory i przeglądy</t>
  </si>
  <si>
    <t xml:space="preserve">     17/dzierżawa kserokopiarki</t>
  </si>
  <si>
    <t xml:space="preserve">      18/szkolenia nauczycieli i pracowników administracji</t>
  </si>
  <si>
    <t>10/projekt budowlany remontu boiska w Szkole nr 1</t>
  </si>
  <si>
    <t>11/dofinansowanie pracodawcom kosztów przygotowania</t>
  </si>
  <si>
    <t xml:space="preserve">   zawodowego młodocianych pracowników</t>
  </si>
  <si>
    <t>3.dotacja z przeznaczeniem na dofinansowanie opieki</t>
  </si>
  <si>
    <t xml:space="preserve">   nad dziećmi (TPD)</t>
  </si>
  <si>
    <t>4.badanie klatki piersiowej</t>
  </si>
  <si>
    <t>8.dotacja dla gminy Golczewo-utrzymanie 15 stanowisk</t>
  </si>
  <si>
    <t>dla bezdomnych psów w schronisku</t>
  </si>
  <si>
    <t>9.dotacja dla ZGWW-uporządkowanie gospodarki</t>
  </si>
  <si>
    <t>wodno-ściekowej</t>
  </si>
  <si>
    <t>10.monitoring składowiska odpadów</t>
  </si>
  <si>
    <t>11.opieka nad bezdomnymi psami</t>
  </si>
  <si>
    <t>12.utrzymanie przepompowni melioracyjnej</t>
  </si>
  <si>
    <t>4.dotacja-turniej sportowgo tańca towarzyskiego</t>
  </si>
  <si>
    <t>5.koncepcja zagospodarowania terenu amfiteatru</t>
  </si>
  <si>
    <t>TRANSPORT  I ŁĄCZNOŚĆ</t>
  </si>
  <si>
    <t xml:space="preserve">   i Bohaterów Warszawy</t>
  </si>
  <si>
    <t xml:space="preserve">   zaplecza sanitarnego</t>
  </si>
  <si>
    <t xml:space="preserve">   przy ul.Bohaterów Warszawy</t>
  </si>
  <si>
    <t xml:space="preserve">   ewidencji dróg</t>
  </si>
  <si>
    <t>1.budowa budynku wielorodzinnego w Międzyzdrojach</t>
  </si>
  <si>
    <t>2.adaptacja budynku wczasowego na mieszkalny przy ul.Ludowej 2</t>
  </si>
  <si>
    <t>1.urządzenie cmentarza w Międzyzdrojach</t>
  </si>
  <si>
    <t>1.wykonanie podjazdu i bramy garażowej w OSP</t>
  </si>
  <si>
    <t>opracowanie koncepcji zagospodarowania budynku WIKLINY</t>
  </si>
  <si>
    <t>2.rozbudowa oświetlenia w ul.Turkusowej w Wapnicy</t>
  </si>
  <si>
    <t xml:space="preserve">   i sieci kanalizacyjnej w  ul.Polnej</t>
  </si>
  <si>
    <t xml:space="preserve">   zwierząt w Sosnowicach</t>
  </si>
  <si>
    <t xml:space="preserve">Dział 921 </t>
  </si>
  <si>
    <t>KULTURA I OCHRONA DZIEDZICTWA NARODOWEGO</t>
  </si>
  <si>
    <t>1.przebudowa budynku położonego przy ul.Promenada Gwiazd</t>
  </si>
  <si>
    <t xml:space="preserve">   "BALBINKA"</t>
  </si>
  <si>
    <t xml:space="preserve">   przy zabytkach wpisanych do rejestru zabytków-remont dachu kościoła</t>
  </si>
  <si>
    <t xml:space="preserve">   w Międzyzdrojach i Lubinie</t>
  </si>
  <si>
    <t>Dział 010</t>
  </si>
  <si>
    <t>Rolnictwo i łowiectwo</t>
  </si>
  <si>
    <t xml:space="preserve">   przy ul.Słowiańskiej</t>
  </si>
  <si>
    <t>1.modernizacja drogi Wapnica-Wicko(dotacja dla Powiatu)</t>
  </si>
  <si>
    <t>3/ dotacja na utrzymanie stadionu miejskiego</t>
  </si>
  <si>
    <t xml:space="preserve">2/ wpływy z tytułu dzierżawy,w tym  </t>
  </si>
  <si>
    <t>3/usługi pogrzebowe i cmentarne oraz sprzedaż</t>
  </si>
  <si>
    <t xml:space="preserve">   akcesorii</t>
  </si>
  <si>
    <t>w tym m.in. :</t>
  </si>
  <si>
    <t>4/drobne naprawy dróg</t>
  </si>
  <si>
    <t>11/obsługa prawna</t>
  </si>
  <si>
    <t>15/zakup kosiarek</t>
  </si>
  <si>
    <t>16/opłata z tytułu trwałego zarządu</t>
  </si>
  <si>
    <t>Stan środków obrotowych na początek 2007 r.</t>
  </si>
  <si>
    <t>Stan środków obrotowych na początek 2007r.</t>
  </si>
  <si>
    <t xml:space="preserve">1/ ustawowy odpis na rzecz GFOŚ </t>
  </si>
  <si>
    <t>1/ dotacja dla Ligi Ochrony Przyrody w Szczecinie</t>
  </si>
  <si>
    <t>2/ dotacja dla Fundacji na Rzecz Odzysku Opakowań Aluminiowych</t>
  </si>
  <si>
    <t>3/zakup zamrażarki do przechowywania padłych zwierząt</t>
  </si>
  <si>
    <t>4/zakup nagród-konkursy związane z edukacją ekologiczną</t>
  </si>
  <si>
    <t>5/ opinie dotyczące drzewostanu</t>
  </si>
  <si>
    <t>6/urządzanie i utrzymanie terenów zielonych</t>
  </si>
  <si>
    <t>7/ opracowanie operatów wodno-prawnych na wprowadzanie wód</t>
  </si>
  <si>
    <t>8/gospodarka odpadami</t>
  </si>
  <si>
    <t>11/dotacja dla Gminy Golczewo-budowa i modernizacja schroniska</t>
  </si>
  <si>
    <t xml:space="preserve">    dla bezdomnych zwierząt</t>
  </si>
  <si>
    <t>zjazdu na plażę oraz projektu budowlanego na budowę</t>
  </si>
  <si>
    <t>12. wpływy z tyt.najmu i dzierżawy realizowane przez ZWiK</t>
  </si>
  <si>
    <t>10. podatek od czynności cywilnoprawnych</t>
  </si>
  <si>
    <t>11.wpływy z różnych opłat (prolongacyjna i zwrot za upomnienia)</t>
  </si>
  <si>
    <t>12.odsetki od nieterminowych wpłat z tyt.podat. i opłat</t>
  </si>
  <si>
    <t>13.wpływy z różnych dochodów (kary)</t>
  </si>
  <si>
    <t xml:space="preserve">14.wpływy z opłaty skarbowej </t>
  </si>
  <si>
    <t>15.wpływy z opłat za zezwolenia na sprzedaż alkoholu</t>
  </si>
  <si>
    <t>16. wpływy z opłat za wpis do EDG,</t>
  </si>
  <si>
    <t>17.udziały gminy w podatku dochodowym od osób fizycznych</t>
  </si>
  <si>
    <t>18.udziały gminy w podatku dochodowym od osób prawnych</t>
  </si>
  <si>
    <t>5/ dotacja z przeznaczeniem na dofinansowanie</t>
  </si>
  <si>
    <t>3.dotacja na składki na ubezpieczenia zdrowotne</t>
  </si>
  <si>
    <t xml:space="preserve">4.dotacja na zasiłki i pomoc w naturze oraz na składki </t>
  </si>
  <si>
    <t>5.dotacja na zadania własne-zasiłki okresowe</t>
  </si>
  <si>
    <t>6.dotacja na utrzymanie  Ośrodka Pomocy Społecznej-zad.własne</t>
  </si>
  <si>
    <t>7.wpływy z usług opiekuńczych</t>
  </si>
  <si>
    <t>8.dotacja na posiłek dla potrzebujących</t>
  </si>
  <si>
    <t>Załącznik Nr 14 do Zarządzenia</t>
  </si>
  <si>
    <t xml:space="preserve">Omówienie wykonania budżetu Gminy Międzyzdroje za rok 2007r. </t>
  </si>
  <si>
    <t>Nr 40/FIN/08  Burmistrza Międzyzdrojów</t>
  </si>
  <si>
    <t>z dnia  12 marca 2008r.</t>
  </si>
  <si>
    <t xml:space="preserve">Dochody Gminy za rok 2007r. wyniosły </t>
  </si>
  <si>
    <t>(88 % kwoty założonej w planie wg uchwał Rady Miejskiej),</t>
  </si>
  <si>
    <t>(102 % kwoty założonej w planie wg uchwał Rady Miejskiej),</t>
  </si>
  <si>
    <t>niedobór  budżetu wynosi</t>
  </si>
  <si>
    <t xml:space="preserve">   182/1i 8, - Międzyzdroje)</t>
  </si>
  <si>
    <t xml:space="preserve">   11/ dz.nr 112,pow.20m2-Poprzeczna 4</t>
  </si>
  <si>
    <t xml:space="preserve">   12/ dz.nr 271/1,271,2,pow.1307m2-Wapnica</t>
  </si>
  <si>
    <t xml:space="preserve">   13/ dz.nr 120/17,pow.1480 m2-Żwirowa</t>
  </si>
  <si>
    <t xml:space="preserve">  15/ dz.nr 423,pow.40 m2-Gryfa Pomorskiego 8</t>
  </si>
  <si>
    <t xml:space="preserve">   14/ dz.nr 221/1,pow.823 m2-Boh.Warszawy 18</t>
  </si>
  <si>
    <t xml:space="preserve">  16/ dz.nr 239/2,pow.45 m2-Mieszka 1</t>
  </si>
  <si>
    <t>1/ 1000-lecia PP 18</t>
  </si>
  <si>
    <t>2/ Ludowa 9</t>
  </si>
  <si>
    <t>3/Pomorska 10</t>
  </si>
  <si>
    <t>4/ Promenada Gwiazd 24</t>
  </si>
  <si>
    <t>13.kary umowne,odsetki i inne ( projekt budowlany przebudowy budynku</t>
  </si>
  <si>
    <t>5. Wpływy z tyt.kar umownych (dokumentacja cmentarz)</t>
  </si>
  <si>
    <t>2.Dotacja z przeznaczeniem na sfinansowanie wyborów</t>
  </si>
  <si>
    <t>do Sejmu i Senatu 21.10.2007 r.</t>
  </si>
  <si>
    <t xml:space="preserve">19.rekompensaty utraconych dochodów w podatkach </t>
  </si>
  <si>
    <t>i opłatach lokalnych</t>
  </si>
  <si>
    <t xml:space="preserve">  c/ odsetki od nieterminowych wpłat z tyt.podatków </t>
  </si>
  <si>
    <t xml:space="preserve">     i opłat</t>
  </si>
  <si>
    <t>dokumentacja ul.Ludowa 2</t>
  </si>
  <si>
    <t>dokumentacja zjazd na plażę</t>
  </si>
  <si>
    <t>stacja uzdatniania wody</t>
  </si>
  <si>
    <t>dokumentacja hala sportowa SP nr 1</t>
  </si>
  <si>
    <t>dokumentacja ul.Nowomyśliwska</t>
  </si>
  <si>
    <t>dokumentacja cmentarz</t>
  </si>
  <si>
    <t>wykazu wydatków niewygasających</t>
  </si>
  <si>
    <t>1/ środki finansowe niewykorzystane w ramach uchwalonego</t>
  </si>
  <si>
    <t xml:space="preserve">2/ niesłusznie naliczony podatek VAT </t>
  </si>
  <si>
    <t>od nieruchomosci przy ul.Kopernika</t>
  </si>
  <si>
    <t>3/unieważnienie aktu notarialnego</t>
  </si>
  <si>
    <t>na łącznik</t>
  </si>
  <si>
    <t>4/koszty egzekucyjne i koszty</t>
  </si>
  <si>
    <t>aktu notarialnego</t>
  </si>
  <si>
    <t xml:space="preserve">  d/subwencja-kwota równoważąca dodatki mieszkaniowe</t>
  </si>
  <si>
    <t>7/ dotacja na awans zawodowy nauczycieli</t>
  </si>
  <si>
    <t>8/ dotacja na zakup lektur do szkół wiejskich</t>
  </si>
  <si>
    <t>9/ środki z Funduszu Rozwoju Kultury</t>
  </si>
  <si>
    <t xml:space="preserve">Fizycznej na dofinansowanie budowy boiska </t>
  </si>
  <si>
    <t>wielofunkcyjnego przy gimnazjum</t>
  </si>
  <si>
    <t>9.dotacja z przeznaczeniem na realizację programu</t>
  </si>
  <si>
    <t xml:space="preserve">opieka nad dzieckiem i rodziną </t>
  </si>
  <si>
    <t>3.Dotacja z budżetu państwa na pomoc materialną dla uczniów,</t>
  </si>
  <si>
    <t xml:space="preserve">2. zwrot niesłusznie naliczonego podatku VAT </t>
  </si>
  <si>
    <t xml:space="preserve">   nabywcy nieruchomości przy ul.Kopernika</t>
  </si>
  <si>
    <t>3.kary i odszkodowania (w tym odszkodowanie</t>
  </si>
  <si>
    <t>za działkę przejętą pod drogę w Wicku 62 000 zł)</t>
  </si>
  <si>
    <t>4.remonty komunalnych lokali mieszkalnych</t>
  </si>
  <si>
    <t>5.rozbiórka hali na terenie ZOŚ</t>
  </si>
  <si>
    <t>6.wydatki związane z utrzymaniem budynków i lokali mieszkalnych</t>
  </si>
  <si>
    <t>7.koszty windykacji zaległych czynszów(przejętych od PZM)</t>
  </si>
  <si>
    <t>8.wydatki związane z rozliczeniem zaliczki na utrzymanie lokali</t>
  </si>
  <si>
    <t xml:space="preserve">9.opłaty z tyt.wieczystego użytkowania dna morskiego </t>
  </si>
  <si>
    <t>3.remont dachu kopuły kaplicy-</t>
  </si>
  <si>
    <t>13.ekspertyza stanu technicznego budynku przy ul.Zwycięstwa 50</t>
  </si>
  <si>
    <t>(roboty publiczne)</t>
  </si>
  <si>
    <t>14.odpisy na zakładowy fundusz świadczeń socjalnych</t>
  </si>
  <si>
    <t>2.wybory do Sejmu i Senatu 21.10.2007 r.</t>
  </si>
  <si>
    <t xml:space="preserve">wymianę okien i remont budynku Komisariatu </t>
  </si>
  <si>
    <t>zakwaterowanie i wyżywienie sił wsparcia w sezonie letnim 2007 r.</t>
  </si>
  <si>
    <t>3.wpłata na rzecz Komendy Wojewódzkiej Policji  z przeznaczeniem na</t>
  </si>
  <si>
    <t>rekompensatę pieniężną za czas służby przekraczający normy</t>
  </si>
  <si>
    <t>dla służb wsparcia w sezonie 2007 r.</t>
  </si>
  <si>
    <t>4.utrzymanie Ochotniczej Straży Pożarnej</t>
  </si>
  <si>
    <t>5.obrona cywilna</t>
  </si>
  <si>
    <t>obchodów jubileuszu 100-lecia poswtania jednostek</t>
  </si>
  <si>
    <t>ochrony przeciwpożarowej na terenie wysp Wolin i Uznam</t>
  </si>
  <si>
    <t xml:space="preserve">      (31 et.)</t>
  </si>
  <si>
    <t xml:space="preserve">      obsługi i administracji (12 etatów)</t>
  </si>
  <si>
    <t xml:space="preserve">   f/realizacja programu Socrates Comenius</t>
  </si>
  <si>
    <t xml:space="preserve">  g/ wynagrodzenia bezosobowe trenerów </t>
  </si>
  <si>
    <t xml:space="preserve">     Uczniowskiego Klubu Sportowego</t>
  </si>
  <si>
    <t xml:space="preserve">   h/wydatki rzeczowe </t>
  </si>
  <si>
    <t xml:space="preserve">   e/wydatki rzeczowe </t>
  </si>
  <si>
    <t xml:space="preserve">      (10,45 etatu)</t>
  </si>
  <si>
    <t xml:space="preserve">      obsługi i administracji (4,25 etatu)</t>
  </si>
  <si>
    <t xml:space="preserve">      kuchni (1,25 et.)</t>
  </si>
  <si>
    <t xml:space="preserve">       7/INTERREG III A (refundacja wydatków przez </t>
  </si>
  <si>
    <t xml:space="preserve">          Euroregion Pomerania w 2008r. -12.977,28)</t>
  </si>
  <si>
    <t xml:space="preserve">  e/wydatki rzeczowe </t>
  </si>
  <si>
    <t xml:space="preserve">      14/wyposażenie pomieszczeń</t>
  </si>
  <si>
    <t xml:space="preserve">      15/remonty w budynku szkoły</t>
  </si>
  <si>
    <t xml:space="preserve">   d/ różne rozliczenia finansowe</t>
  </si>
  <si>
    <t xml:space="preserve">        z tego przypada na:</t>
  </si>
  <si>
    <t xml:space="preserve">    b/ pożyczka dla ZOŚ</t>
  </si>
  <si>
    <t>10.wpływy z różnych dochodów i pozostałych odsetek</t>
  </si>
  <si>
    <t>jednolity strój oraz podręczniki</t>
  </si>
  <si>
    <t>1.wpłata na rzecz Fundacji "Razem Bezpieczniej" z przeznaczeniem na</t>
  </si>
  <si>
    <t>2.wpłata na rzecz Fundacji "Razem Bezpieczniej" z przeznaczeniem na</t>
  </si>
  <si>
    <t>6.utrzymanie Straży Miejskiej</t>
  </si>
  <si>
    <t>7.dotacja dla miasta Świnoujścia na dofinansowanie</t>
  </si>
  <si>
    <t>8.woda na cele przeciwpożarowe</t>
  </si>
  <si>
    <t>g/ stypendia naukowe dla 45 uczniów</t>
  </si>
  <si>
    <t>5.świadczenia społeczne- zadania własne -zasiłki okresowe</t>
  </si>
  <si>
    <t xml:space="preserve">   z przeznaczeniem na dofinansowanie utrzymania stadionu</t>
  </si>
  <si>
    <t xml:space="preserve">2.remont instalacji elektrycznej i montaż grzejników- OSP </t>
  </si>
  <si>
    <t>3.zakup aparatów powietrznych (dofinansowanie)- OSP</t>
  </si>
  <si>
    <t>4.zakup i montaż syren elektronicznych-obrona cywilna</t>
  </si>
  <si>
    <t>5.wentylacja w kuchni -przedszkole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</si>
</sst>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8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b/>
      <i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7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0" fontId="0" fillId="0" borderId="0" xfId="0" applyFont="1" applyAlignment="1">
      <alignment/>
    </xf>
    <xf numFmtId="9" fontId="9" fillId="0" borderId="0" xfId="0" applyNumberFormat="1" applyFont="1" applyAlignment="1">
      <alignment horizontal="centerContinuous"/>
    </xf>
    <xf numFmtId="9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right"/>
    </xf>
    <xf numFmtId="9" fontId="9" fillId="0" borderId="0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4" fontId="2" fillId="0" borderId="0" xfId="0" applyNumberFormat="1" applyFont="1" applyAlignment="1">
      <alignment horizontal="right"/>
    </xf>
    <xf numFmtId="9" fontId="14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9" fontId="14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8"/>
  <sheetViews>
    <sheetView showGridLines="0" tabSelected="1" workbookViewId="0" topLeftCell="A696">
      <selection activeCell="A730" sqref="A730:IV730"/>
    </sheetView>
  </sheetViews>
  <sheetFormatPr defaultColWidth="9.00390625" defaultRowHeight="12.75"/>
  <cols>
    <col min="1" max="1" width="8.75390625" style="59" customWidth="1"/>
    <col min="2" max="2" width="13.75390625" style="0" customWidth="1"/>
    <col min="3" max="3" width="12.875" style="0" customWidth="1"/>
    <col min="4" max="4" width="16.25390625" style="4" customWidth="1"/>
    <col min="5" max="5" width="14.375" style="0" customWidth="1"/>
    <col min="6" max="6" width="13.125" style="38" customWidth="1"/>
    <col min="7" max="7" width="12.625" style="38" customWidth="1"/>
    <col min="8" max="8" width="5.375" style="62" customWidth="1"/>
    <col min="9" max="9" width="5.625" style="62" customWidth="1"/>
    <col min="10" max="10" width="15.125" style="0" customWidth="1"/>
    <col min="11" max="11" width="14.25390625" style="38" bestFit="1" customWidth="1"/>
    <col min="12" max="12" width="13.125" style="38" bestFit="1" customWidth="1"/>
    <col min="13" max="14" width="11.75390625" style="38" bestFit="1" customWidth="1"/>
  </cols>
  <sheetData>
    <row r="1" spans="1:9" ht="12.75">
      <c r="A1" s="87"/>
      <c r="B1" s="13"/>
      <c r="C1" s="13"/>
      <c r="D1" s="14"/>
      <c r="E1" s="23" t="s">
        <v>623</v>
      </c>
      <c r="F1" s="43"/>
      <c r="G1" s="43"/>
      <c r="H1" s="64"/>
      <c r="I1" s="64"/>
    </row>
    <row r="2" spans="1:9" ht="12.75">
      <c r="A2" s="87"/>
      <c r="B2" s="13"/>
      <c r="C2" s="13"/>
      <c r="D2" s="14"/>
      <c r="E2" s="23" t="s">
        <v>625</v>
      </c>
      <c r="F2" s="43"/>
      <c r="G2" s="43"/>
      <c r="H2" s="64"/>
      <c r="I2" s="64"/>
    </row>
    <row r="3" spans="1:9" ht="12.75">
      <c r="A3" s="87"/>
      <c r="B3" s="13"/>
      <c r="C3" s="13"/>
      <c r="D3" s="14"/>
      <c r="E3" s="23" t="s">
        <v>626</v>
      </c>
      <c r="F3" s="43"/>
      <c r="G3" s="43"/>
      <c r="H3" s="64"/>
      <c r="I3" s="64"/>
    </row>
    <row r="4" spans="1:9" ht="12.75">
      <c r="A4" s="87"/>
      <c r="B4" s="13"/>
      <c r="C4" s="13"/>
      <c r="D4" s="14"/>
      <c r="E4" s="23"/>
      <c r="F4" s="43"/>
      <c r="G4" s="43"/>
      <c r="H4" s="64"/>
      <c r="I4" s="64"/>
    </row>
    <row r="5" spans="1:9" ht="15">
      <c r="A5" s="35" t="s">
        <v>624</v>
      </c>
      <c r="B5" s="13"/>
      <c r="C5" s="13"/>
      <c r="D5" s="14"/>
      <c r="E5" s="23"/>
      <c r="F5" s="43"/>
      <c r="G5" s="43"/>
      <c r="H5" s="64"/>
      <c r="I5" s="64"/>
    </row>
    <row r="6" spans="1:5" ht="12.75">
      <c r="A6" s="6"/>
      <c r="E6" s="4"/>
    </row>
    <row r="7" spans="1:14" s="24" customFormat="1" ht="14.25">
      <c r="A7" s="6" t="s">
        <v>627</v>
      </c>
      <c r="D7" s="36"/>
      <c r="E7" s="41">
        <v>30983318.3</v>
      </c>
      <c r="F7" s="36"/>
      <c r="G7" s="36"/>
      <c r="H7" s="62"/>
      <c r="I7" s="62"/>
      <c r="K7" s="36"/>
      <c r="L7" s="36"/>
      <c r="M7" s="36"/>
      <c r="N7" s="36"/>
    </row>
    <row r="8" spans="1:5" ht="12.75">
      <c r="A8" s="6" t="s">
        <v>629</v>
      </c>
      <c r="D8" s="38"/>
      <c r="E8" s="42"/>
    </row>
    <row r="9" spans="1:14" s="24" customFormat="1" ht="14.25">
      <c r="A9" s="6" t="s">
        <v>235</v>
      </c>
      <c r="D9" s="36"/>
      <c r="E9" s="41">
        <v>31774841.86</v>
      </c>
      <c r="F9" s="36"/>
      <c r="G9" s="36"/>
      <c r="H9" s="62"/>
      <c r="I9" s="62"/>
      <c r="K9" s="36"/>
      <c r="L9" s="36"/>
      <c r="M9" s="36"/>
      <c r="N9" s="36"/>
    </row>
    <row r="10" spans="1:5" ht="12.75">
      <c r="A10" s="6" t="s">
        <v>628</v>
      </c>
      <c r="D10" s="38"/>
      <c r="E10" s="42"/>
    </row>
    <row r="11" spans="1:14" s="24" customFormat="1" ht="14.25">
      <c r="A11" s="6" t="s">
        <v>630</v>
      </c>
      <c r="D11" s="36"/>
      <c r="E11" s="41">
        <f>E7-E9</f>
        <v>-791523.5599999987</v>
      </c>
      <c r="F11" s="36"/>
      <c r="G11" s="36"/>
      <c r="H11" s="62"/>
      <c r="I11" s="62"/>
      <c r="K11" s="36"/>
      <c r="L11" s="36"/>
      <c r="M11" s="36"/>
      <c r="N11" s="36"/>
    </row>
    <row r="12" spans="1:14" s="24" customFormat="1" ht="14.25">
      <c r="A12" s="6" t="s">
        <v>385</v>
      </c>
      <c r="D12" s="36"/>
      <c r="E12" s="36"/>
      <c r="F12" s="36"/>
      <c r="G12" s="36"/>
      <c r="H12" s="62"/>
      <c r="I12" s="62"/>
      <c r="K12" s="36"/>
      <c r="L12" s="36"/>
      <c r="M12" s="36"/>
      <c r="N12" s="36"/>
    </row>
    <row r="13" spans="1:5" ht="12.75">
      <c r="A13" s="6" t="s">
        <v>244</v>
      </c>
      <c r="D13" s="38"/>
      <c r="E13" s="38"/>
    </row>
    <row r="14" spans="1:5" ht="12.75">
      <c r="A14" s="6" t="s">
        <v>240</v>
      </c>
      <c r="D14" s="39" t="s">
        <v>237</v>
      </c>
      <c r="E14" s="39" t="s">
        <v>238</v>
      </c>
    </row>
    <row r="15" spans="1:5" ht="12.75">
      <c r="A15" s="6" t="s">
        <v>279</v>
      </c>
      <c r="D15" s="38">
        <v>4500000</v>
      </c>
      <c r="E15" s="38">
        <v>0</v>
      </c>
    </row>
    <row r="16" spans="1:5" ht="12.75">
      <c r="A16" s="6" t="s">
        <v>241</v>
      </c>
      <c r="D16" s="38">
        <v>160000</v>
      </c>
      <c r="E16" s="38">
        <v>140000</v>
      </c>
    </row>
    <row r="17" spans="1:5" ht="12.75">
      <c r="A17" s="6" t="s">
        <v>242</v>
      </c>
      <c r="D17" s="38">
        <v>2257159.34</v>
      </c>
      <c r="E17" s="38">
        <v>5534664.41</v>
      </c>
    </row>
    <row r="18" spans="1:5" ht="12.75">
      <c r="A18" s="6" t="s">
        <v>243</v>
      </c>
      <c r="C18" s="25"/>
      <c r="D18" s="40">
        <v>0</v>
      </c>
      <c r="E18" s="40">
        <v>0</v>
      </c>
    </row>
    <row r="19" spans="1:5" ht="12.75">
      <c r="A19" s="6"/>
      <c r="C19" t="s">
        <v>245</v>
      </c>
      <c r="D19" s="38">
        <f>SUM(D15:D18)</f>
        <v>6917159.34</v>
      </c>
      <c r="E19" s="38">
        <f>SUM(E15:E18)</f>
        <v>5674664.41</v>
      </c>
    </row>
    <row r="20" spans="1:5" ht="12.75">
      <c r="A20" s="6" t="s">
        <v>246</v>
      </c>
      <c r="D20" s="38"/>
      <c r="E20" s="38"/>
    </row>
    <row r="21" spans="1:5" ht="12.75">
      <c r="A21" s="6" t="s">
        <v>240</v>
      </c>
      <c r="D21" s="38"/>
      <c r="E21" s="38"/>
    </row>
    <row r="22" spans="1:5" ht="12.75">
      <c r="A22" s="6" t="s">
        <v>293</v>
      </c>
      <c r="D22" s="38">
        <v>941472</v>
      </c>
      <c r="E22" s="38">
        <v>941472</v>
      </c>
    </row>
    <row r="23" spans="1:5" ht="12.75">
      <c r="A23" s="6" t="s">
        <v>714</v>
      </c>
      <c r="C23" s="25"/>
      <c r="D23" s="40">
        <v>160000</v>
      </c>
      <c r="E23" s="40">
        <v>140000</v>
      </c>
    </row>
    <row r="24" spans="1:5" ht="12.75">
      <c r="A24" s="6"/>
      <c r="C24" t="s">
        <v>245</v>
      </c>
      <c r="D24" s="38">
        <f>SUM(D22:D23)</f>
        <v>1101472</v>
      </c>
      <c r="E24" s="38">
        <f>SUM(E22:E23)</f>
        <v>1081472</v>
      </c>
    </row>
    <row r="25" spans="1:5" ht="12.75">
      <c r="A25" s="6"/>
      <c r="D25" s="38"/>
      <c r="E25" s="38"/>
    </row>
    <row r="26" spans="1:5" ht="12.75">
      <c r="A26" s="6" t="s">
        <v>247</v>
      </c>
      <c r="D26" s="38">
        <f>D19-D24</f>
        <v>5815687.34</v>
      </c>
      <c r="E26" s="38">
        <f>E19-E24</f>
        <v>4593192.41</v>
      </c>
    </row>
    <row r="27" spans="1:5" ht="12.75">
      <c r="A27" s="6"/>
      <c r="D27" s="38"/>
      <c r="E27" s="38"/>
    </row>
    <row r="28" ht="12.75">
      <c r="E28" s="4"/>
    </row>
    <row r="29" ht="12.75">
      <c r="E29" s="4"/>
    </row>
    <row r="30" spans="1:9" ht="15">
      <c r="A30" s="86" t="s">
        <v>143</v>
      </c>
      <c r="F30" s="39" t="s">
        <v>237</v>
      </c>
      <c r="G30" s="39" t="s">
        <v>238</v>
      </c>
      <c r="H30" s="65" t="s">
        <v>236</v>
      </c>
      <c r="I30" s="65" t="s">
        <v>239</v>
      </c>
    </row>
    <row r="31" ht="12.75">
      <c r="A31" s="74"/>
    </row>
    <row r="32" spans="1:14" s="16" customFormat="1" ht="12.75">
      <c r="A32" s="75" t="s">
        <v>192</v>
      </c>
      <c r="B32" s="16" t="s">
        <v>193</v>
      </c>
      <c r="D32" s="17"/>
      <c r="F32" s="44">
        <f>SUM(F34:F39)</f>
        <v>128780</v>
      </c>
      <c r="G32" s="44">
        <f>SUM(G34:G39)</f>
        <v>169364.64</v>
      </c>
      <c r="H32" s="89">
        <f>G32/F32</f>
        <v>1.31514707252679</v>
      </c>
      <c r="I32" s="89">
        <f>G32/G$289</f>
        <v>0.005466317014856347</v>
      </c>
      <c r="K32" s="44"/>
      <c r="L32" s="44"/>
      <c r="M32" s="44"/>
      <c r="N32" s="44"/>
    </row>
    <row r="33" spans="1:14" s="2" customFormat="1" ht="12.75">
      <c r="A33" s="75"/>
      <c r="B33" s="6" t="s">
        <v>357</v>
      </c>
      <c r="D33" s="8"/>
      <c r="F33" s="45"/>
      <c r="G33" s="45"/>
      <c r="H33" s="62"/>
      <c r="I33" s="62"/>
      <c r="K33" s="93"/>
      <c r="L33" s="93"/>
      <c r="M33" s="93"/>
      <c r="N33" s="93"/>
    </row>
    <row r="34" spans="1:14" s="2" customFormat="1" ht="12.75">
      <c r="A34" s="75"/>
      <c r="B34" s="6" t="s">
        <v>294</v>
      </c>
      <c r="D34" s="8"/>
      <c r="F34" s="45">
        <v>28200</v>
      </c>
      <c r="G34" s="45">
        <v>28200</v>
      </c>
      <c r="H34" s="62">
        <f>G34/F34</f>
        <v>1</v>
      </c>
      <c r="I34" s="62">
        <f>G34/G$289</f>
        <v>0.0009101671979401898</v>
      </c>
      <c r="K34" s="93"/>
      <c r="L34" s="93"/>
      <c r="M34" s="93"/>
      <c r="N34" s="93"/>
    </row>
    <row r="35" spans="1:14" s="2" customFormat="1" ht="12.75">
      <c r="A35" s="75"/>
      <c r="B35" s="6" t="s">
        <v>358</v>
      </c>
      <c r="D35" s="8"/>
      <c r="F35" s="45">
        <v>100000</v>
      </c>
      <c r="G35" s="45">
        <v>139291.7</v>
      </c>
      <c r="H35" s="62">
        <f>G35/F35</f>
        <v>1.3929170000000002</v>
      </c>
      <c r="I35" s="62">
        <f>G35/G$289</f>
        <v>0.004495699868273955</v>
      </c>
      <c r="K35" s="93"/>
      <c r="L35" s="93"/>
      <c r="M35" s="93"/>
      <c r="N35" s="93"/>
    </row>
    <row r="36" spans="1:14" s="2" customFormat="1" ht="12.75">
      <c r="A36" s="75"/>
      <c r="B36" s="6" t="s">
        <v>359</v>
      </c>
      <c r="D36" s="8"/>
      <c r="F36" s="45">
        <v>400</v>
      </c>
      <c r="G36" s="45">
        <v>507.76</v>
      </c>
      <c r="H36" s="62">
        <f>G36/F36</f>
        <v>1.2694</v>
      </c>
      <c r="I36" s="62">
        <f>G36/G$289</f>
        <v>1.6388173632131588E-05</v>
      </c>
      <c r="K36" s="93"/>
      <c r="L36" s="93"/>
      <c r="M36" s="93"/>
      <c r="N36" s="93"/>
    </row>
    <row r="37" spans="1:14" s="2" customFormat="1" ht="12.75">
      <c r="A37" s="75"/>
      <c r="B37" s="6" t="s">
        <v>401</v>
      </c>
      <c r="D37" s="8"/>
      <c r="F37" s="45"/>
      <c r="G37" s="45"/>
      <c r="H37" s="62"/>
      <c r="I37" s="62"/>
      <c r="K37" s="93"/>
      <c r="L37" s="93"/>
      <c r="M37" s="93"/>
      <c r="N37" s="93"/>
    </row>
    <row r="38" spans="1:14" s="2" customFormat="1" ht="12.75">
      <c r="A38" s="75"/>
      <c r="B38" s="6" t="s">
        <v>605</v>
      </c>
      <c r="D38" s="8"/>
      <c r="F38" s="45"/>
      <c r="G38" s="45"/>
      <c r="H38" s="62"/>
      <c r="I38" s="62"/>
      <c r="K38" s="93"/>
      <c r="L38" s="93"/>
      <c r="M38" s="93"/>
      <c r="N38" s="93"/>
    </row>
    <row r="39" spans="1:14" s="2" customFormat="1" ht="12.75">
      <c r="A39" s="75"/>
      <c r="B39" s="6" t="s">
        <v>431</v>
      </c>
      <c r="D39" s="8"/>
      <c r="F39" s="45">
        <v>180</v>
      </c>
      <c r="G39" s="45">
        <v>1365.18</v>
      </c>
      <c r="H39" s="62">
        <f>G39/F39</f>
        <v>7.584333333333333</v>
      </c>
      <c r="I39" s="62">
        <f>G39/G$289</f>
        <v>4.406177501007051E-05</v>
      </c>
      <c r="K39" s="93"/>
      <c r="L39" s="93"/>
      <c r="M39" s="93"/>
      <c r="N39" s="93"/>
    </row>
    <row r="40" spans="1:14" s="2" customFormat="1" ht="12.75">
      <c r="A40" s="75"/>
      <c r="B40" s="6"/>
      <c r="D40" s="8"/>
      <c r="F40" s="45"/>
      <c r="G40" s="45"/>
      <c r="H40" s="62"/>
      <c r="I40" s="62"/>
      <c r="K40" s="93"/>
      <c r="L40" s="93"/>
      <c r="M40" s="93"/>
      <c r="N40" s="93"/>
    </row>
    <row r="41" spans="1:14" s="2" customFormat="1" ht="12.75">
      <c r="A41" s="75" t="s">
        <v>172</v>
      </c>
      <c r="B41" s="2" t="s">
        <v>173</v>
      </c>
      <c r="D41" s="8"/>
      <c r="F41" s="46"/>
      <c r="G41" s="46"/>
      <c r="H41" s="62"/>
      <c r="I41" s="62"/>
      <c r="K41" s="93"/>
      <c r="L41" s="93"/>
      <c r="M41" s="93"/>
      <c r="N41" s="93"/>
    </row>
    <row r="42" spans="2:9" ht="12.75">
      <c r="B42" t="s">
        <v>254</v>
      </c>
      <c r="F42" s="46">
        <f>F45+F48+F50+F54+F59+F91+F94+F97+F99+F102+F104+F106+F109</f>
        <v>13529087</v>
      </c>
      <c r="G42" s="46">
        <f>G45+G48+G50+G54+G59+G91+G94+G97+G99+G102+G104+G106+G109</f>
        <v>11902340.639999999</v>
      </c>
      <c r="H42" s="89">
        <f>G42/F42</f>
        <v>0.8797593392665742</v>
      </c>
      <c r="I42" s="89">
        <f>G42/G$289</f>
        <v>0.38415319252618596</v>
      </c>
    </row>
    <row r="43" spans="2:10" ht="12.75">
      <c r="B43" t="s">
        <v>144</v>
      </c>
      <c r="F43" s="47"/>
      <c r="G43" s="47"/>
      <c r="J43" s="38"/>
    </row>
    <row r="44" spans="2:7" ht="12.75">
      <c r="B44" t="s">
        <v>295</v>
      </c>
      <c r="F44" s="47"/>
      <c r="G44" s="47"/>
    </row>
    <row r="45" spans="2:9" ht="12.75">
      <c r="B45" t="s">
        <v>174</v>
      </c>
      <c r="F45" s="47">
        <v>908223</v>
      </c>
      <c r="G45" s="47">
        <v>1225218.38</v>
      </c>
      <c r="H45" s="62">
        <f>G45/F45</f>
        <v>1.3490281351606377</v>
      </c>
      <c r="I45" s="62">
        <f>G45/G$289</f>
        <v>0.03954445318402193</v>
      </c>
    </row>
    <row r="46" spans="2:7" ht="12.75">
      <c r="B46" t="s">
        <v>296</v>
      </c>
      <c r="F46" s="47"/>
      <c r="G46" s="47"/>
    </row>
    <row r="47" spans="2:7" ht="12.75">
      <c r="B47" t="s">
        <v>175</v>
      </c>
      <c r="F47" s="47"/>
      <c r="G47" s="47"/>
    </row>
    <row r="48" spans="2:9" ht="12.75">
      <c r="B48" t="s">
        <v>176</v>
      </c>
      <c r="F48" s="47">
        <v>1200000</v>
      </c>
      <c r="G48" s="47">
        <v>1704050.24</v>
      </c>
      <c r="H48" s="62">
        <f>G48/F48</f>
        <v>1.4200418666666668</v>
      </c>
      <c r="I48" s="62">
        <f>G48/G$289</f>
        <v>0.0549989585847556</v>
      </c>
    </row>
    <row r="49" spans="2:7" ht="12.75">
      <c r="B49" t="s">
        <v>297</v>
      </c>
      <c r="F49" s="47"/>
      <c r="G49" s="47"/>
    </row>
    <row r="50" spans="2:9" ht="12.75">
      <c r="B50" t="s">
        <v>177</v>
      </c>
      <c r="F50" s="47">
        <v>200000</v>
      </c>
      <c r="G50" s="47">
        <v>152507.27</v>
      </c>
      <c r="H50" s="62">
        <f>G50/F50</f>
        <v>0.76253635</v>
      </c>
      <c r="I50" s="62">
        <f>G50/G$289</f>
        <v>0.004922238106432906</v>
      </c>
    </row>
    <row r="51" spans="2:7" ht="12.75">
      <c r="B51" t="s">
        <v>298</v>
      </c>
      <c r="F51" s="47"/>
      <c r="G51" s="47"/>
    </row>
    <row r="52" spans="2:7" ht="12.75">
      <c r="B52" t="s">
        <v>432</v>
      </c>
      <c r="F52" s="47"/>
      <c r="G52" s="47"/>
    </row>
    <row r="53" spans="2:7" ht="12.75">
      <c r="B53" t="s">
        <v>433</v>
      </c>
      <c r="F53" s="47"/>
      <c r="G53" s="47"/>
    </row>
    <row r="54" spans="2:9" ht="12.75">
      <c r="B54" t="s">
        <v>631</v>
      </c>
      <c r="F54" s="47">
        <v>800000</v>
      </c>
      <c r="G54" s="47">
        <v>1122119.48</v>
      </c>
      <c r="H54" s="62">
        <f>G54/F54</f>
        <v>1.40264935</v>
      </c>
      <c r="I54" s="62">
        <f>G54/G$289</f>
        <v>0.03621689159098237</v>
      </c>
    </row>
    <row r="55" spans="6:7" ht="12.75">
      <c r="F55" s="47"/>
      <c r="G55" s="47"/>
    </row>
    <row r="56" spans="6:7" ht="12.75">
      <c r="F56" s="47"/>
      <c r="G56" s="47"/>
    </row>
    <row r="57" spans="6:7" ht="12.75">
      <c r="F57" s="47"/>
      <c r="G57" s="47"/>
    </row>
    <row r="58" spans="6:7" ht="12.75">
      <c r="F58" s="47"/>
      <c r="G58" s="47"/>
    </row>
    <row r="59" spans="2:9" ht="12.75">
      <c r="B59" t="s">
        <v>448</v>
      </c>
      <c r="F59" s="47">
        <f>F61+F68+F87+F88+F89</f>
        <v>9505264</v>
      </c>
      <c r="G59" s="47">
        <f>G61+G68+G87+G88+G89</f>
        <v>6811280.32</v>
      </c>
      <c r="H59" s="62">
        <f>G59/F59</f>
        <v>0.7165798151424306</v>
      </c>
      <c r="I59" s="62">
        <f>G59/G$289</f>
        <v>0.21983701855459428</v>
      </c>
    </row>
    <row r="60" spans="2:7" ht="12.75">
      <c r="B60" t="s">
        <v>161</v>
      </c>
      <c r="F60" s="47"/>
      <c r="G60" s="47"/>
    </row>
    <row r="61" spans="2:9" ht="12.75">
      <c r="B61" s="26" t="s">
        <v>443</v>
      </c>
      <c r="F61" s="88">
        <v>9295264</v>
      </c>
      <c r="G61" s="47">
        <f>SUM(G63:G66)</f>
        <v>5980000</v>
      </c>
      <c r="H61" s="62">
        <v>0</v>
      </c>
      <c r="I61" s="62">
        <f>G61/G$289</f>
        <v>0.19300708665540192</v>
      </c>
    </row>
    <row r="62" spans="2:7" ht="12.75">
      <c r="B62" s="15" t="s">
        <v>152</v>
      </c>
      <c r="F62" s="88"/>
      <c r="G62" s="47"/>
    </row>
    <row r="63" spans="2:9" ht="12.75">
      <c r="B63" s="6" t="s">
        <v>638</v>
      </c>
      <c r="F63" s="88"/>
      <c r="G63" s="47">
        <v>1315000</v>
      </c>
      <c r="H63" s="62">
        <v>0</v>
      </c>
      <c r="I63" s="62">
        <f>G63/G$289</f>
        <v>0.04244219380465778</v>
      </c>
    </row>
    <row r="64" spans="2:9" ht="12.75">
      <c r="B64" s="6" t="s">
        <v>639</v>
      </c>
      <c r="F64" s="88"/>
      <c r="G64" s="47">
        <v>1415000</v>
      </c>
      <c r="H64" s="62">
        <v>0</v>
      </c>
      <c r="I64" s="62">
        <f>G64/G$289</f>
        <v>0.04566973705976484</v>
      </c>
    </row>
    <row r="65" spans="2:9" ht="12.75">
      <c r="B65" s="6" t="s">
        <v>640</v>
      </c>
      <c r="F65" s="88"/>
      <c r="G65" s="47">
        <v>1935000</v>
      </c>
      <c r="H65" s="62">
        <v>0</v>
      </c>
      <c r="I65" s="62">
        <f>G65/G$289</f>
        <v>0.06245296198632153</v>
      </c>
    </row>
    <row r="66" spans="2:9" ht="12.75">
      <c r="B66" s="6" t="s">
        <v>641</v>
      </c>
      <c r="F66" s="88"/>
      <c r="G66" s="47">
        <v>1315000</v>
      </c>
      <c r="H66" s="62">
        <v>0</v>
      </c>
      <c r="I66" s="62">
        <f>G66/G$289</f>
        <v>0.04244219380465778</v>
      </c>
    </row>
    <row r="67" spans="2:7" ht="12.75">
      <c r="B67" s="26"/>
      <c r="F67" s="88"/>
      <c r="G67" s="47"/>
    </row>
    <row r="68" spans="1:14" s="26" customFormat="1" ht="12.75">
      <c r="A68" s="76"/>
      <c r="B68" s="26" t="s">
        <v>446</v>
      </c>
      <c r="D68" s="27"/>
      <c r="E68" s="27"/>
      <c r="F68" s="48">
        <v>0</v>
      </c>
      <c r="G68" s="48">
        <f>SUM(G70:G85)</f>
        <v>738965.6699999999</v>
      </c>
      <c r="H68" s="62"/>
      <c r="I68" s="62">
        <f>G68/G$289</f>
        <v>0.02385043663964166</v>
      </c>
      <c r="K68" s="94"/>
      <c r="L68" s="94"/>
      <c r="M68" s="94"/>
      <c r="N68" s="94"/>
    </row>
    <row r="69" spans="1:14" s="15" customFormat="1" ht="12.75">
      <c r="A69" s="59"/>
      <c r="B69" s="15" t="s">
        <v>152</v>
      </c>
      <c r="D69" s="20"/>
      <c r="E69" s="20"/>
      <c r="F69" s="49"/>
      <c r="G69" s="49"/>
      <c r="H69" s="62"/>
      <c r="I69" s="62"/>
      <c r="K69" s="52"/>
      <c r="L69" s="52"/>
      <c r="M69" s="52"/>
      <c r="N69" s="52"/>
    </row>
    <row r="70" spans="2:9" ht="12.75">
      <c r="B70" s="15" t="s">
        <v>360</v>
      </c>
      <c r="F70" s="47"/>
      <c r="G70" s="47">
        <f>6558.27+872.5+1000+1000+540+2800+2300+2860+1123.3+563.3+8897+4000+639+3743</f>
        <v>36896.369999999995</v>
      </c>
      <c r="H70" s="62">
        <v>0</v>
      </c>
      <c r="I70" s="62">
        <f aca="true" t="shared" si="0" ref="I70:I85">G70/G$289</f>
        <v>0.001190846301314343</v>
      </c>
    </row>
    <row r="71" spans="2:9" ht="12.75">
      <c r="B71" t="s">
        <v>438</v>
      </c>
      <c r="F71" s="47"/>
      <c r="G71" s="47">
        <v>555.7</v>
      </c>
      <c r="H71" s="62">
        <v>0</v>
      </c>
      <c r="I71" s="62">
        <f t="shared" si="0"/>
        <v>1.793545786862991E-05</v>
      </c>
    </row>
    <row r="72" spans="2:9" ht="12.75">
      <c r="B72" s="15" t="s">
        <v>439</v>
      </c>
      <c r="F72" s="47"/>
      <c r="G72" s="47">
        <v>2688.6</v>
      </c>
      <c r="H72" s="62">
        <v>0</v>
      </c>
      <c r="I72" s="62">
        <f t="shared" si="0"/>
        <v>8.67757279568083E-05</v>
      </c>
    </row>
    <row r="73" spans="2:9" ht="12.75">
      <c r="B73" t="s">
        <v>440</v>
      </c>
      <c r="F73" s="47"/>
      <c r="G73" s="47">
        <v>3675</v>
      </c>
      <c r="H73" s="62">
        <v>0</v>
      </c>
      <c r="I73" s="62">
        <f t="shared" si="0"/>
        <v>0.0001186122146251843</v>
      </c>
    </row>
    <row r="74" spans="2:9" ht="12.75">
      <c r="B74" t="s">
        <v>434</v>
      </c>
      <c r="F74" s="47"/>
      <c r="G74" s="47">
        <v>41500</v>
      </c>
      <c r="H74" s="62">
        <v>0</v>
      </c>
      <c r="I74" s="62">
        <f t="shared" si="0"/>
        <v>0.0013394304508694281</v>
      </c>
    </row>
    <row r="75" spans="2:9" ht="12.75">
      <c r="B75" t="s">
        <v>435</v>
      </c>
      <c r="F75" s="47"/>
      <c r="G75" s="47">
        <v>12000</v>
      </c>
      <c r="H75" s="62">
        <v>0</v>
      </c>
      <c r="I75" s="62">
        <f t="shared" si="0"/>
        <v>0.0003873051906128467</v>
      </c>
    </row>
    <row r="76" spans="2:9" ht="12.75">
      <c r="B76" t="s">
        <v>441</v>
      </c>
      <c r="F76" s="47"/>
      <c r="G76" s="47">
        <v>183600</v>
      </c>
      <c r="H76" s="62">
        <v>0</v>
      </c>
      <c r="I76" s="62">
        <f t="shared" si="0"/>
        <v>0.005925769416376555</v>
      </c>
    </row>
    <row r="77" spans="2:9" ht="12.75">
      <c r="B77" t="s">
        <v>442</v>
      </c>
      <c r="F77" s="47"/>
      <c r="G77" s="47">
        <v>102000</v>
      </c>
      <c r="H77" s="62">
        <v>0</v>
      </c>
      <c r="I77" s="62">
        <f t="shared" si="0"/>
        <v>0.003292094120209197</v>
      </c>
    </row>
    <row r="78" spans="2:9" ht="12.75">
      <c r="B78" t="s">
        <v>436</v>
      </c>
      <c r="F78" s="47"/>
      <c r="G78" s="47">
        <v>36000</v>
      </c>
      <c r="H78" s="62">
        <v>0</v>
      </c>
      <c r="I78" s="62">
        <f t="shared" si="0"/>
        <v>0.00116191557183854</v>
      </c>
    </row>
    <row r="79" spans="2:9" ht="12.75">
      <c r="B79" t="s">
        <v>437</v>
      </c>
      <c r="F79" s="47"/>
      <c r="G79" s="47">
        <v>45500</v>
      </c>
      <c r="H79" s="62">
        <v>0</v>
      </c>
      <c r="I79" s="62">
        <f t="shared" si="0"/>
        <v>0.0014685321810737103</v>
      </c>
    </row>
    <row r="80" spans="2:9" ht="12.75">
      <c r="B80" t="s">
        <v>632</v>
      </c>
      <c r="F80" s="47"/>
      <c r="G80" s="47">
        <v>6000</v>
      </c>
      <c r="H80" s="62">
        <v>0</v>
      </c>
      <c r="I80" s="62">
        <f t="shared" si="0"/>
        <v>0.00019365259530642335</v>
      </c>
    </row>
    <row r="81" spans="2:9" ht="12.75">
      <c r="B81" t="s">
        <v>633</v>
      </c>
      <c r="F81" s="47"/>
      <c r="G81" s="47">
        <v>117000</v>
      </c>
      <c r="H81" s="62">
        <v>0</v>
      </c>
      <c r="I81" s="62">
        <f t="shared" si="0"/>
        <v>0.0037762256084752552</v>
      </c>
    </row>
    <row r="82" spans="2:9" ht="12.75">
      <c r="B82" t="s">
        <v>634</v>
      </c>
      <c r="F82" s="47"/>
      <c r="G82" s="47">
        <v>85000</v>
      </c>
      <c r="H82" s="62">
        <v>0</v>
      </c>
      <c r="I82" s="62">
        <f t="shared" si="0"/>
        <v>0.0027434117668409972</v>
      </c>
    </row>
    <row r="83" spans="2:9" ht="12.75">
      <c r="B83" t="s">
        <v>636</v>
      </c>
      <c r="F83" s="47"/>
      <c r="G83" s="47">
        <v>54550</v>
      </c>
      <c r="H83" s="62">
        <v>0</v>
      </c>
      <c r="I83" s="62">
        <f t="shared" si="0"/>
        <v>0.0017606248456608989</v>
      </c>
    </row>
    <row r="84" spans="2:9" ht="12.75">
      <c r="B84" t="s">
        <v>635</v>
      </c>
      <c r="F84" s="47"/>
      <c r="G84" s="47">
        <v>11000</v>
      </c>
      <c r="H84" s="62">
        <v>0</v>
      </c>
      <c r="I84" s="62">
        <f t="shared" si="0"/>
        <v>0.00035502975806177614</v>
      </c>
    </row>
    <row r="85" spans="2:9" ht="12.75">
      <c r="B85" t="s">
        <v>637</v>
      </c>
      <c r="F85" s="47"/>
      <c r="G85" s="47">
        <v>1000</v>
      </c>
      <c r="H85" s="62">
        <v>0</v>
      </c>
      <c r="I85" s="62">
        <f t="shared" si="0"/>
        <v>3.2275432551070556E-05</v>
      </c>
    </row>
    <row r="86" spans="6:7" ht="12.75">
      <c r="F86" s="47"/>
      <c r="G86" s="47"/>
    </row>
    <row r="87" spans="1:14" s="26" customFormat="1" ht="12.75">
      <c r="A87" s="76"/>
      <c r="B87" s="26" t="s">
        <v>455</v>
      </c>
      <c r="D87" s="27"/>
      <c r="E87" s="27"/>
      <c r="F87" s="48">
        <v>200000</v>
      </c>
      <c r="G87" s="48">
        <v>69916.78</v>
      </c>
      <c r="H87" s="62">
        <f>G87/F87</f>
        <v>0.3495839</v>
      </c>
      <c r="I87" s="62">
        <f>G87/G$289</f>
        <v>0.002256594317078039</v>
      </c>
      <c r="K87" s="94"/>
      <c r="L87" s="94"/>
      <c r="M87" s="94"/>
      <c r="N87" s="94"/>
    </row>
    <row r="88" spans="1:14" s="26" customFormat="1" ht="12.75">
      <c r="A88" s="76"/>
      <c r="B88" s="26" t="s">
        <v>447</v>
      </c>
      <c r="D88" s="27"/>
      <c r="E88" s="27"/>
      <c r="F88" s="48">
        <v>0</v>
      </c>
      <c r="G88" s="48">
        <v>8498</v>
      </c>
      <c r="H88" s="62">
        <v>0</v>
      </c>
      <c r="I88" s="62">
        <f>G88/G$289</f>
        <v>0.0002742766258189976</v>
      </c>
      <c r="K88" s="94"/>
      <c r="L88" s="94"/>
      <c r="M88" s="94"/>
      <c r="N88" s="94"/>
    </row>
    <row r="89" spans="1:14" s="26" customFormat="1" ht="12.75">
      <c r="A89" s="76"/>
      <c r="B89" s="26" t="s">
        <v>454</v>
      </c>
      <c r="D89" s="27"/>
      <c r="E89" s="27"/>
      <c r="F89" s="48">
        <v>10000</v>
      </c>
      <c r="G89" s="48">
        <v>13899.87</v>
      </c>
      <c r="H89" s="62">
        <f>G89/F89</f>
        <v>1.389987</v>
      </c>
      <c r="I89" s="62">
        <f>G89/G$289</f>
        <v>0.00044862431665364916</v>
      </c>
      <c r="K89" s="94"/>
      <c r="L89" s="94"/>
      <c r="M89" s="94"/>
      <c r="N89" s="94"/>
    </row>
    <row r="90" spans="1:14" s="26" customFormat="1" ht="12.75">
      <c r="A90" s="76"/>
      <c r="D90" s="27"/>
      <c r="E90" s="27"/>
      <c r="F90" s="48"/>
      <c r="G90" s="48"/>
      <c r="H90" s="62"/>
      <c r="I90" s="62"/>
      <c r="K90" s="94"/>
      <c r="L90" s="94"/>
      <c r="M90" s="94"/>
      <c r="N90" s="94"/>
    </row>
    <row r="91" spans="2:9" ht="12.75">
      <c r="B91" s="7" t="s">
        <v>449</v>
      </c>
      <c r="C91" s="7"/>
      <c r="F91" s="47">
        <v>66000</v>
      </c>
      <c r="G91" s="47">
        <v>49311.02</v>
      </c>
      <c r="H91" s="62">
        <f>G91/F91</f>
        <v>0.7471366666666667</v>
      </c>
      <c r="I91" s="62">
        <f>G91/G$289</f>
        <v>0.0015915345000344912</v>
      </c>
    </row>
    <row r="92" spans="2:7" ht="12.75">
      <c r="B92" s="7"/>
      <c r="C92" s="7"/>
      <c r="F92" s="47"/>
      <c r="G92" s="47"/>
    </row>
    <row r="93" spans="2:7" ht="12.75">
      <c r="B93" s="7" t="s">
        <v>450</v>
      </c>
      <c r="C93" s="7"/>
      <c r="F93" s="47"/>
      <c r="G93" s="47"/>
    </row>
    <row r="94" spans="2:9" ht="12.75">
      <c r="B94" s="7" t="s">
        <v>444</v>
      </c>
      <c r="C94" s="7"/>
      <c r="F94" s="38">
        <v>10000</v>
      </c>
      <c r="G94" s="38">
        <v>10706.77</v>
      </c>
      <c r="H94" s="62">
        <f>G94/F94</f>
        <v>1.070677</v>
      </c>
      <c r="I94" s="62">
        <f>G94/G$289</f>
        <v>0.00034556563297482575</v>
      </c>
    </row>
    <row r="95" spans="2:7" ht="12.75">
      <c r="B95" s="7"/>
      <c r="C95" s="7"/>
      <c r="F95" s="47"/>
      <c r="G95" s="47"/>
    </row>
    <row r="96" spans="2:7" ht="12.75">
      <c r="B96" t="s">
        <v>451</v>
      </c>
      <c r="F96" s="47"/>
      <c r="G96" s="47"/>
    </row>
    <row r="97" spans="2:9" ht="12.75">
      <c r="B97" s="28" t="s">
        <v>303</v>
      </c>
      <c r="F97" s="47">
        <v>18000</v>
      </c>
      <c r="G97" s="47">
        <v>15058.59</v>
      </c>
      <c r="H97" s="62">
        <f>G97/F97</f>
        <v>0.8365883333333334</v>
      </c>
      <c r="I97" s="62">
        <f>G97/G$289</f>
        <v>0.0004860225058592256</v>
      </c>
    </row>
    <row r="98" spans="2:7" ht="12.75">
      <c r="B98" s="28" t="s">
        <v>452</v>
      </c>
      <c r="F98" s="47"/>
      <c r="G98" s="47"/>
    </row>
    <row r="99" spans="2:9" ht="12.75">
      <c r="B99" s="28" t="s">
        <v>403</v>
      </c>
      <c r="F99" s="47">
        <v>565000</v>
      </c>
      <c r="G99" s="47">
        <v>641962.2</v>
      </c>
      <c r="H99" s="62">
        <f>G99/F99</f>
        <v>1.1362162831858407</v>
      </c>
      <c r="I99" s="62">
        <f>G99/G$289</f>
        <v>0.020719607686436867</v>
      </c>
    </row>
    <row r="100" spans="2:7" ht="12.75">
      <c r="B100" s="28"/>
      <c r="F100" s="47"/>
      <c r="G100" s="47"/>
    </row>
    <row r="101" spans="2:7" ht="12.75">
      <c r="B101" s="28" t="s">
        <v>402</v>
      </c>
      <c r="F101" s="47"/>
      <c r="G101" s="47"/>
    </row>
    <row r="102" spans="2:9" ht="12.75">
      <c r="B102" s="28" t="s">
        <v>404</v>
      </c>
      <c r="F102" s="47">
        <v>100000</v>
      </c>
      <c r="G102" s="47">
        <v>88683.84</v>
      </c>
      <c r="H102" s="62">
        <f>G102/F102</f>
        <v>0.8868383999999999</v>
      </c>
      <c r="I102" s="62">
        <f>G102/G$289</f>
        <v>0.002862309296289933</v>
      </c>
    </row>
    <row r="103" spans="2:7" ht="12.75">
      <c r="B103" s="28"/>
      <c r="F103" s="47"/>
      <c r="G103" s="47"/>
    </row>
    <row r="104" spans="2:9" ht="12.75">
      <c r="B104" s="28" t="s">
        <v>453</v>
      </c>
      <c r="F104" s="47">
        <v>150000</v>
      </c>
      <c r="G104" s="47">
        <v>63634.37</v>
      </c>
      <c r="H104" s="62">
        <f>G104/F104</f>
        <v>0.42422913333333334</v>
      </c>
      <c r="I104" s="62">
        <f>G104/G$289</f>
        <v>0.0020538268168648678</v>
      </c>
    </row>
    <row r="105" spans="2:7" ht="12.75">
      <c r="B105" s="28"/>
      <c r="F105" s="47"/>
      <c r="G105" s="47"/>
    </row>
    <row r="106" spans="2:9" ht="12.75">
      <c r="B106" s="28" t="s">
        <v>606</v>
      </c>
      <c r="F106" s="47">
        <v>0</v>
      </c>
      <c r="G106" s="47">
        <v>9750.24</v>
      </c>
      <c r="H106"/>
      <c r="I106" s="62">
        <f>G106/G$289</f>
        <v>0.00031469321347675017</v>
      </c>
    </row>
    <row r="107" spans="2:7" ht="12.75">
      <c r="B107" s="28"/>
      <c r="F107" s="47"/>
      <c r="G107" s="47"/>
    </row>
    <row r="108" spans="1:14" s="15" customFormat="1" ht="12.75">
      <c r="A108" s="59"/>
      <c r="B108" s="15" t="s">
        <v>642</v>
      </c>
      <c r="D108" s="20"/>
      <c r="F108" s="49"/>
      <c r="G108" s="49"/>
      <c r="H108" s="62"/>
      <c r="I108" s="62"/>
      <c r="K108" s="52"/>
      <c r="L108" s="52"/>
      <c r="M108" s="52"/>
      <c r="N108" s="52"/>
    </row>
    <row r="109" spans="2:9" ht="12.75">
      <c r="B109" s="58" t="s">
        <v>445</v>
      </c>
      <c r="C109" s="7"/>
      <c r="F109" s="47">
        <v>6600</v>
      </c>
      <c r="G109" s="47">
        <f>7975.24+82.68</f>
        <v>8057.92</v>
      </c>
      <c r="H109" s="62">
        <f>G109/F109</f>
        <v>1.2208969696969698</v>
      </c>
      <c r="I109" s="62">
        <f>G109/G$289</f>
        <v>0.00026007285346192247</v>
      </c>
    </row>
    <row r="110" spans="2:7" ht="12.75">
      <c r="B110" s="58"/>
      <c r="C110" s="7"/>
      <c r="F110" s="47"/>
      <c r="G110" s="47"/>
    </row>
    <row r="111" spans="1:14" s="16" customFormat="1" ht="12.75">
      <c r="A111" s="75" t="s">
        <v>196</v>
      </c>
      <c r="B111" s="18" t="s">
        <v>248</v>
      </c>
      <c r="C111" s="18"/>
      <c r="D111" s="17"/>
      <c r="F111" s="50">
        <f>SUM(F112:F116)</f>
        <v>140</v>
      </c>
      <c r="G111" s="50">
        <f>SUM(G112:G116)</f>
        <v>6905.28</v>
      </c>
      <c r="H111" s="89">
        <f>G111/F111</f>
        <v>49.32342857142857</v>
      </c>
      <c r="I111" s="89">
        <f aca="true" t="shared" si="1" ref="I111:I116">G111/G$289</f>
        <v>0.00022287089888625648</v>
      </c>
      <c r="K111" s="44"/>
      <c r="L111" s="44"/>
      <c r="M111" s="44"/>
      <c r="N111" s="44"/>
    </row>
    <row r="112" spans="2:9" ht="12.75">
      <c r="B112" s="7" t="s">
        <v>354</v>
      </c>
      <c r="C112" s="7"/>
      <c r="F112" s="47">
        <v>0</v>
      </c>
      <c r="G112" s="47">
        <v>0</v>
      </c>
      <c r="I112" s="62">
        <f t="shared" si="1"/>
        <v>0</v>
      </c>
    </row>
    <row r="113" spans="2:9" ht="12.75">
      <c r="B113" s="7" t="s">
        <v>405</v>
      </c>
      <c r="C113" s="7"/>
      <c r="F113" s="47">
        <v>0</v>
      </c>
      <c r="G113" s="47">
        <v>2766</v>
      </c>
      <c r="I113" s="62">
        <f t="shared" si="1"/>
        <v>8.927384643626117E-05</v>
      </c>
    </row>
    <row r="114" spans="2:9" ht="12.75">
      <c r="B114" s="7" t="s">
        <v>406</v>
      </c>
      <c r="C114" s="7"/>
      <c r="F114" s="47">
        <v>0</v>
      </c>
      <c r="G114" s="47">
        <v>1303.52</v>
      </c>
      <c r="I114" s="62">
        <f t="shared" si="1"/>
        <v>4.207167183897149E-05</v>
      </c>
    </row>
    <row r="115" spans="2:9" ht="12.75">
      <c r="B115" s="7" t="s">
        <v>407</v>
      </c>
      <c r="C115" s="7"/>
      <c r="F115" s="47">
        <v>140</v>
      </c>
      <c r="G115" s="47">
        <v>1781.76</v>
      </c>
      <c r="I115" s="62">
        <f t="shared" si="1"/>
        <v>5.7507074702195476E-05</v>
      </c>
    </row>
    <row r="116" spans="2:9" ht="12.75">
      <c r="B116" s="7" t="s">
        <v>643</v>
      </c>
      <c r="C116" s="7"/>
      <c r="F116" s="47">
        <v>0</v>
      </c>
      <c r="G116" s="47">
        <v>1054</v>
      </c>
      <c r="I116" s="62">
        <f t="shared" si="1"/>
        <v>3.401830590882837E-05</v>
      </c>
    </row>
    <row r="117" spans="2:7" ht="12" customHeight="1">
      <c r="B117" s="7"/>
      <c r="C117" s="7"/>
      <c r="F117" s="47"/>
      <c r="G117" s="47"/>
    </row>
    <row r="118" spans="1:14" s="2" customFormat="1" ht="12.75">
      <c r="A118" s="75" t="s">
        <v>178</v>
      </c>
      <c r="B118" s="2" t="s">
        <v>179</v>
      </c>
      <c r="D118" s="8"/>
      <c r="F118" s="46"/>
      <c r="G118" s="46"/>
      <c r="H118" s="62"/>
      <c r="I118" s="62"/>
      <c r="K118" s="93"/>
      <c r="L118" s="93"/>
      <c r="M118" s="93"/>
      <c r="N118" s="93"/>
    </row>
    <row r="119" spans="2:10" ht="12.75">
      <c r="B119" t="s">
        <v>253</v>
      </c>
      <c r="F119" s="46">
        <f>SUM(F122:F131)</f>
        <v>379145</v>
      </c>
      <c r="G119" s="46">
        <f>SUM(G122:G131)</f>
        <v>499922.92000000004</v>
      </c>
      <c r="H119" s="89">
        <f>G119/F119</f>
        <v>1.3185533766764694</v>
      </c>
      <c r="I119" s="89">
        <f>G119/G$289</f>
        <v>0.016135228485194244</v>
      </c>
      <c r="J119" s="38"/>
    </row>
    <row r="120" spans="2:7" ht="12.75">
      <c r="B120" t="s">
        <v>154</v>
      </c>
      <c r="F120" s="51"/>
      <c r="G120" s="51"/>
    </row>
    <row r="121" spans="2:7" ht="12.75">
      <c r="B121" t="s">
        <v>456</v>
      </c>
      <c r="F121" s="51"/>
      <c r="G121" s="51"/>
    </row>
    <row r="122" spans="2:9" ht="12.75">
      <c r="B122" t="s">
        <v>156</v>
      </c>
      <c r="F122" s="47">
        <v>71085</v>
      </c>
      <c r="G122" s="47">
        <v>71085</v>
      </c>
      <c r="H122" s="62">
        <f>G122/F122</f>
        <v>1</v>
      </c>
      <c r="I122" s="62">
        <f>G122/G$289</f>
        <v>0.0022942991228928505</v>
      </c>
    </row>
    <row r="123" spans="2:9" ht="12.75">
      <c r="B123" s="28" t="s">
        <v>457</v>
      </c>
      <c r="F123" s="51">
        <v>1300</v>
      </c>
      <c r="G123" s="51">
        <v>2637.42</v>
      </c>
      <c r="H123" s="62">
        <f>G123/F123</f>
        <v>2.0287846153846156</v>
      </c>
      <c r="I123" s="62">
        <f>G123/G$289</f>
        <v>8.512387131884451E-05</v>
      </c>
    </row>
    <row r="124" spans="2:9" ht="12.75">
      <c r="B124" t="s">
        <v>408</v>
      </c>
      <c r="F124" s="47">
        <v>60</v>
      </c>
      <c r="G124" s="47">
        <v>0</v>
      </c>
      <c r="H124" s="62">
        <v>0</v>
      </c>
      <c r="I124" s="62">
        <f>G124/G$289</f>
        <v>0</v>
      </c>
    </row>
    <row r="125" spans="2:9" ht="12.75">
      <c r="B125" t="s">
        <v>458</v>
      </c>
      <c r="F125" s="47">
        <v>100</v>
      </c>
      <c r="G125" s="47">
        <v>0.08</v>
      </c>
      <c r="H125" s="62">
        <v>0</v>
      </c>
      <c r="I125" s="62">
        <f>G125/G$289</f>
        <v>2.5820346040856446E-09</v>
      </c>
    </row>
    <row r="126" spans="2:9" ht="12.75">
      <c r="B126" t="s">
        <v>459</v>
      </c>
      <c r="F126" s="47">
        <f>22700+100</f>
        <v>22800</v>
      </c>
      <c r="G126" s="47">
        <f>44153.74+2.13</f>
        <v>44155.869999999995</v>
      </c>
      <c r="H126" s="62">
        <f>G126/F126</f>
        <v>1.9366609649122806</v>
      </c>
      <c r="I126" s="62">
        <f>G126/G$289</f>
        <v>0.0014251498039188398</v>
      </c>
    </row>
    <row r="127" spans="2:3" ht="12" customHeight="1">
      <c r="B127" s="7" t="s">
        <v>460</v>
      </c>
      <c r="C127" s="7"/>
    </row>
    <row r="128" spans="2:9" ht="12" customHeight="1">
      <c r="B128" s="7" t="s">
        <v>361</v>
      </c>
      <c r="C128" s="7"/>
      <c r="F128" s="47">
        <v>800</v>
      </c>
      <c r="G128" s="47">
        <v>1873.58</v>
      </c>
      <c r="H128" s="62">
        <f>G128/F128</f>
        <v>2.3419749999999997</v>
      </c>
      <c r="I128" s="62">
        <f>G128/G$289</f>
        <v>6.0470604919034774E-05</v>
      </c>
    </row>
    <row r="129" spans="2:9" ht="12" customHeight="1">
      <c r="B129" s="7" t="s">
        <v>461</v>
      </c>
      <c r="C129" s="7"/>
      <c r="F129" s="47">
        <v>33000</v>
      </c>
      <c r="G129" s="47">
        <v>28909.14</v>
      </c>
      <c r="H129" s="62">
        <f>G129/F129</f>
        <v>0.8760345454545454</v>
      </c>
      <c r="I129" s="62">
        <f>G129/G$289</f>
        <v>0.0009330549981794559</v>
      </c>
    </row>
    <row r="130" spans="2:9" ht="12" customHeight="1">
      <c r="B130" s="7" t="s">
        <v>462</v>
      </c>
      <c r="C130" s="7"/>
      <c r="F130" s="47">
        <v>0</v>
      </c>
      <c r="G130" s="47">
        <v>633.2</v>
      </c>
      <c r="I130" s="62">
        <f>G130/G$289</f>
        <v>2.043680389133788E-05</v>
      </c>
    </row>
    <row r="131" spans="2:9" ht="12" customHeight="1">
      <c r="B131" s="7" t="s">
        <v>463</v>
      </c>
      <c r="C131" s="7"/>
      <c r="F131" s="47">
        <v>250000</v>
      </c>
      <c r="G131" s="47">
        <v>350628.63</v>
      </c>
      <c r="H131" s="62">
        <f>G131/F131</f>
        <v>1.40251452</v>
      </c>
      <c r="I131" s="62">
        <f>G131/G$289</f>
        <v>0.011316690698039275</v>
      </c>
    </row>
    <row r="132" spans="2:7" ht="12" customHeight="1">
      <c r="B132" s="7"/>
      <c r="C132" s="7"/>
      <c r="F132" s="47"/>
      <c r="G132" s="47"/>
    </row>
    <row r="133" spans="1:14" s="16" customFormat="1" ht="12" customHeight="1">
      <c r="A133" s="75" t="s">
        <v>180</v>
      </c>
      <c r="B133" s="18" t="s">
        <v>181</v>
      </c>
      <c r="C133" s="18"/>
      <c r="D133" s="17"/>
      <c r="F133" s="50">
        <f>SUM(F134:F136)</f>
        <v>10124</v>
      </c>
      <c r="G133" s="50">
        <f>SUM(G134:G136)</f>
        <v>10124</v>
      </c>
      <c r="H133" s="89">
        <f>G133/F133</f>
        <v>1</v>
      </c>
      <c r="I133" s="89">
        <f>G133/G$289</f>
        <v>0.00032675647914703833</v>
      </c>
      <c r="K133" s="44"/>
      <c r="L133" s="44"/>
      <c r="M133" s="44"/>
      <c r="N133" s="44"/>
    </row>
    <row r="134" spans="2:9" ht="12" customHeight="1">
      <c r="B134" t="s">
        <v>304</v>
      </c>
      <c r="C134" s="7"/>
      <c r="F134" s="47">
        <v>1104</v>
      </c>
      <c r="G134" s="47">
        <v>1104</v>
      </c>
      <c r="H134" s="62">
        <f>G134/F134</f>
        <v>1</v>
      </c>
      <c r="I134" s="62">
        <f>G134/G$289</f>
        <v>3.56320775363819E-05</v>
      </c>
    </row>
    <row r="135" spans="2:7" ht="12" customHeight="1">
      <c r="B135" t="s">
        <v>644</v>
      </c>
      <c r="C135" s="7"/>
      <c r="F135" s="47"/>
      <c r="G135" s="47"/>
    </row>
    <row r="136" spans="2:9" ht="12" customHeight="1">
      <c r="B136" t="s">
        <v>645</v>
      </c>
      <c r="C136" s="7"/>
      <c r="F136" s="47">
        <v>9020</v>
      </c>
      <c r="G136" s="47">
        <v>9020</v>
      </c>
      <c r="H136" s="62">
        <f>G136/F136</f>
        <v>1</v>
      </c>
      <c r="I136" s="62">
        <f>G136/G$289</f>
        <v>0.00029112440161065643</v>
      </c>
    </row>
    <row r="137" spans="1:14" s="2" customFormat="1" ht="12.75">
      <c r="A137" s="75" t="s">
        <v>182</v>
      </c>
      <c r="B137" s="19" t="s">
        <v>183</v>
      </c>
      <c r="D137" s="8"/>
      <c r="F137" s="46">
        <f>SUM(F138:F138)</f>
        <v>20000</v>
      </c>
      <c r="G137" s="46">
        <f>SUM(G138:G138)</f>
        <v>30342.2</v>
      </c>
      <c r="H137" s="89">
        <f>G137/F137</f>
        <v>1.51711</v>
      </c>
      <c r="I137" s="89">
        <f>G137/G$289</f>
        <v>0.0009793076295510931</v>
      </c>
      <c r="K137" s="93"/>
      <c r="L137" s="93"/>
      <c r="M137" s="93"/>
      <c r="N137" s="93"/>
    </row>
    <row r="138" spans="2:9" ht="12.75">
      <c r="B138" t="s">
        <v>464</v>
      </c>
      <c r="F138" s="49">
        <v>20000</v>
      </c>
      <c r="G138" s="49">
        <v>30342.2</v>
      </c>
      <c r="H138" s="62">
        <f>G138/F138</f>
        <v>1.51711</v>
      </c>
      <c r="I138" s="62">
        <f>G138/G$289</f>
        <v>0.0009793076295510931</v>
      </c>
    </row>
    <row r="139" spans="2:7" ht="12" customHeight="1">
      <c r="B139" s="7"/>
      <c r="C139" s="7"/>
      <c r="F139" s="47"/>
      <c r="G139" s="47"/>
    </row>
    <row r="140" spans="1:14" s="2" customFormat="1" ht="12.75">
      <c r="A140" s="75" t="s">
        <v>184</v>
      </c>
      <c r="B140" s="2" t="s">
        <v>155</v>
      </c>
      <c r="D140" s="8"/>
      <c r="F140" s="47"/>
      <c r="G140" s="47"/>
      <c r="H140" s="62"/>
      <c r="I140" s="62"/>
      <c r="K140" s="93"/>
      <c r="L140" s="93"/>
      <c r="M140" s="93"/>
      <c r="N140" s="93"/>
    </row>
    <row r="141" spans="1:14" s="2" customFormat="1" ht="12.75">
      <c r="A141" s="75"/>
      <c r="B141" s="2" t="s">
        <v>185</v>
      </c>
      <c r="D141" s="8"/>
      <c r="F141" s="47"/>
      <c r="G141" s="47"/>
      <c r="H141" s="62"/>
      <c r="I141" s="62"/>
      <c r="K141" s="93"/>
      <c r="L141" s="93"/>
      <c r="M141" s="93"/>
      <c r="N141" s="93"/>
    </row>
    <row r="142" spans="2:9" ht="12.75">
      <c r="B142" t="s">
        <v>254</v>
      </c>
      <c r="F142" s="46">
        <f>SUM(F145:F164)</f>
        <v>9969032</v>
      </c>
      <c r="G142" s="46">
        <f>SUM(G145:G164)</f>
        <v>12114712.27</v>
      </c>
      <c r="H142" s="89">
        <f>G142/F142</f>
        <v>1.2152345654021373</v>
      </c>
      <c r="I142" s="89">
        <f>G142/G$289</f>
        <v>0.3910075787460119</v>
      </c>
    </row>
    <row r="143" spans="2:7" ht="12.75">
      <c r="B143" t="s">
        <v>154</v>
      </c>
      <c r="F143" s="47"/>
      <c r="G143" s="47"/>
    </row>
    <row r="144" spans="2:7" ht="12.75">
      <c r="B144" s="6" t="s">
        <v>186</v>
      </c>
      <c r="F144" s="47"/>
      <c r="G144" s="47"/>
    </row>
    <row r="145" spans="2:9" ht="12.75">
      <c r="B145" s="6" t="s">
        <v>280</v>
      </c>
      <c r="F145" s="47">
        <v>138700</v>
      </c>
      <c r="G145" s="47">
        <v>161432.38</v>
      </c>
      <c r="H145" s="62">
        <f aca="true" t="shared" si="2" ref="H145:H162">G145/F145</f>
        <v>1.1638960346070657</v>
      </c>
      <c r="I145" s="62">
        <f aca="true" t="shared" si="3" ref="I145:I162">G145/G$289</f>
        <v>0.005210299892248792</v>
      </c>
    </row>
    <row r="146" spans="2:9" ht="12.75">
      <c r="B146" s="15" t="s">
        <v>322</v>
      </c>
      <c r="F146" s="47">
        <f>3722411+1338000</f>
        <v>5060411</v>
      </c>
      <c r="G146" s="47">
        <f>3842935.91+1566851.98</f>
        <v>5409787.890000001</v>
      </c>
      <c r="H146" s="62">
        <f t="shared" si="2"/>
        <v>1.0690412083129217</v>
      </c>
      <c r="I146" s="62">
        <f t="shared" si="3"/>
        <v>0.17460324415929332</v>
      </c>
    </row>
    <row r="147" spans="2:9" ht="12.75">
      <c r="B147" t="s">
        <v>323</v>
      </c>
      <c r="F147" s="47">
        <f>500+4400</f>
        <v>4900</v>
      </c>
      <c r="G147" s="47">
        <f>191+8370.1</f>
        <v>8561.1</v>
      </c>
      <c r="H147" s="62">
        <f t="shared" si="2"/>
        <v>1.7471632653061224</v>
      </c>
      <c r="I147" s="62">
        <f t="shared" si="3"/>
        <v>0.00027631320561297015</v>
      </c>
    </row>
    <row r="148" spans="2:9" ht="12.75">
      <c r="B148" s="15" t="s">
        <v>324</v>
      </c>
      <c r="F148" s="47">
        <v>58000</v>
      </c>
      <c r="G148" s="47">
        <v>69196</v>
      </c>
      <c r="H148" s="62">
        <f t="shared" si="2"/>
        <v>1.1930344827586208</v>
      </c>
      <c r="I148" s="62">
        <f t="shared" si="3"/>
        <v>0.0022333308308038783</v>
      </c>
    </row>
    <row r="149" spans="2:9" ht="12.75">
      <c r="B149" s="6" t="s">
        <v>325</v>
      </c>
      <c r="C149" s="6"/>
      <c r="D149" s="9"/>
      <c r="E149" s="6"/>
      <c r="F149" s="47">
        <f>9000+55000</f>
        <v>64000</v>
      </c>
      <c r="G149" s="47">
        <f>8779.17+59371.29</f>
        <v>68150.46</v>
      </c>
      <c r="H149" s="62">
        <f t="shared" si="2"/>
        <v>1.0648509375000001</v>
      </c>
      <c r="I149" s="62">
        <f t="shared" si="3"/>
        <v>0.002199585575054432</v>
      </c>
    </row>
    <row r="150" spans="2:9" ht="12.75">
      <c r="B150" s="6" t="s">
        <v>326</v>
      </c>
      <c r="C150" s="6"/>
      <c r="D150" s="9"/>
      <c r="E150" s="6"/>
      <c r="F150" s="47">
        <v>46000</v>
      </c>
      <c r="G150" s="47">
        <v>198840.4</v>
      </c>
      <c r="H150" s="62">
        <f t="shared" si="2"/>
        <v>4.322617391304347</v>
      </c>
      <c r="I150" s="62">
        <f t="shared" si="3"/>
        <v>0.00641765991862789</v>
      </c>
    </row>
    <row r="151" spans="2:9" ht="12.75">
      <c r="B151" s="6" t="s">
        <v>327</v>
      </c>
      <c r="C151" s="6"/>
      <c r="D151" s="9"/>
      <c r="E151" s="6"/>
      <c r="F151" s="47">
        <v>5000</v>
      </c>
      <c r="G151" s="47">
        <v>3200</v>
      </c>
      <c r="H151" s="62">
        <f t="shared" si="2"/>
        <v>0.64</v>
      </c>
      <c r="I151" s="62">
        <f t="shared" si="3"/>
        <v>0.00010328138416342579</v>
      </c>
    </row>
    <row r="152" spans="2:9" ht="12.75">
      <c r="B152" s="6" t="s">
        <v>328</v>
      </c>
      <c r="C152" s="6"/>
      <c r="D152" s="9"/>
      <c r="E152" s="6"/>
      <c r="F152" s="47">
        <v>136873</v>
      </c>
      <c r="G152" s="47">
        <v>157800.7</v>
      </c>
      <c r="H152" s="62">
        <f t="shared" si="2"/>
        <v>1.1528986724920183</v>
      </c>
      <c r="I152" s="62">
        <f t="shared" si="3"/>
        <v>0.0050930858493617205</v>
      </c>
    </row>
    <row r="153" spans="2:9" ht="12.75">
      <c r="B153" s="6" t="s">
        <v>465</v>
      </c>
      <c r="C153" s="6"/>
      <c r="D153" s="9"/>
      <c r="E153" s="6"/>
      <c r="F153" s="47">
        <v>640000</v>
      </c>
      <c r="G153" s="47">
        <v>680460</v>
      </c>
      <c r="H153" s="62">
        <f t="shared" si="2"/>
        <v>1.06321875</v>
      </c>
      <c r="I153" s="62">
        <f t="shared" si="3"/>
        <v>0.02196214083370147</v>
      </c>
    </row>
    <row r="154" spans="2:9" ht="12.75">
      <c r="B154" s="6" t="s">
        <v>607</v>
      </c>
      <c r="C154" s="6"/>
      <c r="D154" s="9"/>
      <c r="E154" s="6"/>
      <c r="F154" s="47">
        <f>300000+10000</f>
        <v>310000</v>
      </c>
      <c r="G154" s="47">
        <f>71007+1186574.66</f>
        <v>1257581.66</v>
      </c>
      <c r="H154" s="62">
        <f t="shared" si="2"/>
        <v>4.056715032258064</v>
      </c>
      <c r="I154" s="62">
        <f t="shared" si="3"/>
        <v>0.04058899204479335</v>
      </c>
    </row>
    <row r="155" spans="2:9" ht="12.75">
      <c r="B155" s="15" t="s">
        <v>608</v>
      </c>
      <c r="C155" s="6"/>
      <c r="D155" s="9"/>
      <c r="E155" s="6"/>
      <c r="F155" s="47">
        <f>6300+7500</f>
        <v>13800</v>
      </c>
      <c r="G155" s="47">
        <f>5813.6+12409.66</f>
        <v>18223.260000000002</v>
      </c>
      <c r="H155" s="62">
        <f t="shared" si="2"/>
        <v>1.3205260869565218</v>
      </c>
      <c r="I155" s="62">
        <f t="shared" si="3"/>
        <v>0.0005881635989906221</v>
      </c>
    </row>
    <row r="156" spans="2:9" ht="12.75">
      <c r="B156" s="6" t="s">
        <v>609</v>
      </c>
      <c r="C156" s="6"/>
      <c r="D156" s="9"/>
      <c r="E156" s="6"/>
      <c r="F156" s="47">
        <f>50000+13600+300</f>
        <v>63900</v>
      </c>
      <c r="G156" s="47">
        <f>20940.8+16274.75+278.37</f>
        <v>37493.920000000006</v>
      </c>
      <c r="H156" s="62">
        <f t="shared" si="2"/>
        <v>0.5867593114241002</v>
      </c>
      <c r="I156" s="62">
        <f t="shared" si="3"/>
        <v>0.0012101324860352355</v>
      </c>
    </row>
    <row r="157" spans="2:9" ht="12.75">
      <c r="B157" s="15" t="s">
        <v>610</v>
      </c>
      <c r="C157" s="6"/>
      <c r="D157" s="9"/>
      <c r="E157" s="6"/>
      <c r="F157" s="47">
        <v>300</v>
      </c>
      <c r="G157" s="47">
        <v>283</v>
      </c>
      <c r="H157" s="62">
        <f t="shared" si="2"/>
        <v>0.9433333333333334</v>
      </c>
      <c r="I157" s="62">
        <f t="shared" si="3"/>
        <v>9.133947411952967E-06</v>
      </c>
    </row>
    <row r="158" spans="2:9" ht="12.75">
      <c r="B158" s="6" t="s">
        <v>611</v>
      </c>
      <c r="C158" s="6"/>
      <c r="D158" s="9"/>
      <c r="E158" s="6"/>
      <c r="F158" s="47">
        <v>40000</v>
      </c>
      <c r="G158" s="47">
        <v>44019.12</v>
      </c>
      <c r="H158" s="62">
        <f t="shared" si="2"/>
        <v>1.100478</v>
      </c>
      <c r="I158" s="62">
        <f t="shared" si="3"/>
        <v>0.001420736138517481</v>
      </c>
    </row>
    <row r="159" spans="2:9" ht="12.75">
      <c r="B159" s="6" t="s">
        <v>612</v>
      </c>
      <c r="C159" s="6"/>
      <c r="D159" s="9"/>
      <c r="E159" s="6"/>
      <c r="F159" s="47">
        <v>270000</v>
      </c>
      <c r="G159" s="47">
        <v>380755.36</v>
      </c>
      <c r="H159" s="62">
        <f t="shared" si="2"/>
        <v>1.410205037037037</v>
      </c>
      <c r="I159" s="62">
        <f t="shared" si="3"/>
        <v>0.012289043940138588</v>
      </c>
    </row>
    <row r="160" spans="2:9" ht="12.75">
      <c r="B160" s="6" t="s">
        <v>613</v>
      </c>
      <c r="C160" s="6"/>
      <c r="D160" s="9"/>
      <c r="E160" s="6"/>
      <c r="F160" s="47">
        <v>20000</v>
      </c>
      <c r="G160" s="47">
        <v>12110</v>
      </c>
      <c r="H160" s="62">
        <f>G160/F160</f>
        <v>0.6055</v>
      </c>
      <c r="I160" s="62">
        <f t="shared" si="3"/>
        <v>0.00039085548819346445</v>
      </c>
    </row>
    <row r="161" spans="2:9" ht="12.75">
      <c r="B161" s="6" t="s">
        <v>614</v>
      </c>
      <c r="C161" s="6"/>
      <c r="D161" s="9"/>
      <c r="E161" s="6"/>
      <c r="F161" s="47">
        <v>2876644</v>
      </c>
      <c r="G161" s="47">
        <v>3110178</v>
      </c>
      <c r="H161" s="62">
        <f t="shared" si="2"/>
        <v>1.081182794951339</v>
      </c>
      <c r="I161" s="62">
        <f t="shared" si="3"/>
        <v>0.10038234026082353</v>
      </c>
    </row>
    <row r="162" spans="2:9" ht="12.75">
      <c r="B162" s="6" t="s">
        <v>615</v>
      </c>
      <c r="C162" s="6"/>
      <c r="D162" s="9"/>
      <c r="E162" s="6"/>
      <c r="F162" s="47">
        <v>50000</v>
      </c>
      <c r="G162" s="47">
        <v>326135.02</v>
      </c>
      <c r="H162" s="62">
        <f t="shared" si="2"/>
        <v>6.522700400000001</v>
      </c>
      <c r="I162" s="62">
        <f t="shared" si="3"/>
        <v>0.010526148840552047</v>
      </c>
    </row>
    <row r="163" spans="2:7" ht="12.75">
      <c r="B163" s="6" t="s">
        <v>646</v>
      </c>
      <c r="C163" s="6"/>
      <c r="D163" s="9"/>
      <c r="E163" s="6"/>
      <c r="F163" s="47"/>
      <c r="G163" s="47"/>
    </row>
    <row r="164" spans="2:9" ht="12" customHeight="1">
      <c r="B164" s="102" t="s">
        <v>647</v>
      </c>
      <c r="C164" s="7"/>
      <c r="F164" s="47">
        <v>170504</v>
      </c>
      <c r="G164" s="47">
        <v>170504</v>
      </c>
      <c r="H164" s="62">
        <f>G164/F164</f>
        <v>1</v>
      </c>
      <c r="I164" s="62">
        <f>G164/G$289</f>
        <v>0.005503090351687734</v>
      </c>
    </row>
    <row r="165" spans="2:7" ht="12" customHeight="1">
      <c r="B165" s="102"/>
      <c r="C165" s="7"/>
      <c r="F165" s="47"/>
      <c r="G165" s="47"/>
    </row>
    <row r="166" spans="1:14" s="2" customFormat="1" ht="12.75">
      <c r="A166" s="75" t="s">
        <v>187</v>
      </c>
      <c r="B166" s="2" t="s">
        <v>157</v>
      </c>
      <c r="D166" s="8"/>
      <c r="F166" s="46">
        <f>+F168+F171+F173+F176+F193</f>
        <v>3370808.08</v>
      </c>
      <c r="G166" s="46">
        <f>+G168+G171+G173+G176+G193</f>
        <v>3471134.56</v>
      </c>
      <c r="H166" s="89">
        <f>G166/F166</f>
        <v>1.029763332001981</v>
      </c>
      <c r="I166" s="89">
        <f>G166/G$289</f>
        <v>0.11203236936696997</v>
      </c>
      <c r="K166" s="93"/>
      <c r="L166" s="93"/>
      <c r="M166" s="93"/>
      <c r="N166" s="93"/>
    </row>
    <row r="167" spans="2:7" ht="12.75">
      <c r="B167" t="s">
        <v>154</v>
      </c>
      <c r="F167" s="46"/>
      <c r="G167" s="46"/>
    </row>
    <row r="168" spans="2:9" ht="12.75">
      <c r="B168" t="s">
        <v>249</v>
      </c>
      <c r="F168" s="49">
        <v>2061887</v>
      </c>
      <c r="G168" s="49">
        <v>2061887</v>
      </c>
      <c r="H168" s="62">
        <f>G168/F168</f>
        <v>1</v>
      </c>
      <c r="I168" s="62">
        <f>G168/G$289</f>
        <v>0.06654829479642922</v>
      </c>
    </row>
    <row r="169" spans="2:7" ht="12.75">
      <c r="B169" t="s">
        <v>466</v>
      </c>
      <c r="F169" s="49"/>
      <c r="G169" s="49"/>
    </row>
    <row r="170" spans="2:7" ht="12.75">
      <c r="B170" t="s">
        <v>467</v>
      </c>
      <c r="F170" s="49"/>
      <c r="G170" s="49"/>
    </row>
    <row r="171" spans="1:9" ht="12.75">
      <c r="A171" s="59" t="s">
        <v>468</v>
      </c>
      <c r="B171" t="s">
        <v>469</v>
      </c>
      <c r="F171" s="49">
        <v>431249</v>
      </c>
      <c r="G171" s="49">
        <v>431249</v>
      </c>
      <c r="H171" s="62">
        <f>G171/F171</f>
        <v>1</v>
      </c>
      <c r="I171" s="62">
        <f>G171/G$289</f>
        <v>0.013918748012216627</v>
      </c>
    </row>
    <row r="172" spans="2:7" ht="12.75">
      <c r="B172" t="s">
        <v>648</v>
      </c>
      <c r="F172" s="49"/>
      <c r="G172" s="49"/>
    </row>
    <row r="173" spans="2:9" ht="12.75">
      <c r="B173" t="s">
        <v>649</v>
      </c>
      <c r="F173" s="49">
        <v>0</v>
      </c>
      <c r="G173" s="49">
        <v>-67.86</v>
      </c>
      <c r="I173" s="62">
        <f>G173/G$289</f>
        <v>-2.190210852915648E-06</v>
      </c>
    </row>
    <row r="174" spans="6:7" ht="12.75">
      <c r="F174" s="49"/>
      <c r="G174" s="49"/>
    </row>
    <row r="175" spans="6:7" ht="12.75">
      <c r="F175" s="49"/>
      <c r="G175" s="49"/>
    </row>
    <row r="176" spans="2:9" ht="12.75">
      <c r="B176" s="59" t="s">
        <v>712</v>
      </c>
      <c r="F176" s="49">
        <v>822590.08</v>
      </c>
      <c r="G176" s="49">
        <f>+E179+E188+E190+E192</f>
        <v>922984.42</v>
      </c>
      <c r="H176" s="62">
        <f>G176/F176</f>
        <v>1.1220466213256548</v>
      </c>
      <c r="I176" s="62">
        <f>G176/G$289</f>
        <v>0.02978972139339898</v>
      </c>
    </row>
    <row r="177" spans="2:7" ht="12.75">
      <c r="B177" s="59" t="s">
        <v>713</v>
      </c>
      <c r="F177" s="49"/>
      <c r="G177" s="49"/>
    </row>
    <row r="178" spans="2:7" ht="12.75">
      <c r="B178" s="59" t="s">
        <v>657</v>
      </c>
      <c r="F178" s="49"/>
      <c r="G178" s="49"/>
    </row>
    <row r="179" spans="2:7" ht="12.75">
      <c r="B179" s="59" t="s">
        <v>656</v>
      </c>
      <c r="E179" s="38">
        <f>SUM(D181:D186)</f>
        <v>781890.08</v>
      </c>
      <c r="F179" s="49"/>
      <c r="G179" s="49"/>
    </row>
    <row r="180" spans="2:7" ht="12.75">
      <c r="B180" s="59" t="s">
        <v>154</v>
      </c>
      <c r="F180" s="49"/>
      <c r="G180" s="49"/>
    </row>
    <row r="181" spans="2:7" ht="12.75">
      <c r="B181" s="59" t="s">
        <v>650</v>
      </c>
      <c r="D181" s="38">
        <v>27084</v>
      </c>
      <c r="F181" s="49"/>
      <c r="G181" s="49"/>
    </row>
    <row r="182" spans="2:7" ht="12.75">
      <c r="B182" s="59" t="s">
        <v>651</v>
      </c>
      <c r="D182" s="38">
        <v>4270</v>
      </c>
      <c r="F182" s="49"/>
      <c r="G182" s="49"/>
    </row>
    <row r="183" spans="2:7" ht="12.75">
      <c r="B183" s="59" t="s">
        <v>652</v>
      </c>
      <c r="D183" s="38">
        <f>552436+8130.08+9150</f>
        <v>569716.08</v>
      </c>
      <c r="F183" s="49"/>
      <c r="G183" s="49"/>
    </row>
    <row r="184" spans="2:7" ht="12.75">
      <c r="B184" s="103" t="s">
        <v>653</v>
      </c>
      <c r="D184" s="38">
        <v>61000</v>
      </c>
      <c r="F184" s="49"/>
      <c r="G184" s="49"/>
    </row>
    <row r="185" spans="2:7" ht="12.75">
      <c r="B185" s="103" t="s">
        <v>654</v>
      </c>
      <c r="D185" s="38">
        <v>98820</v>
      </c>
      <c r="F185" s="49"/>
      <c r="G185" s="49"/>
    </row>
    <row r="186" spans="2:7" ht="12.75">
      <c r="B186" s="59" t="s">
        <v>655</v>
      </c>
      <c r="D186" s="38">
        <v>21000</v>
      </c>
      <c r="F186" s="49"/>
      <c r="G186" s="49"/>
    </row>
    <row r="187" spans="2:7" ht="12.75">
      <c r="B187" s="59" t="s">
        <v>658</v>
      </c>
      <c r="F187" s="49"/>
      <c r="G187" s="49"/>
    </row>
    <row r="188" spans="2:7" ht="12.75">
      <c r="B188" s="103" t="s">
        <v>659</v>
      </c>
      <c r="E188" s="38">
        <v>40700</v>
      </c>
      <c r="F188" s="49"/>
      <c r="G188" s="49"/>
    </row>
    <row r="189" spans="2:7" ht="12.75">
      <c r="B189" s="59" t="s">
        <v>660</v>
      </c>
      <c r="F189" s="49"/>
      <c r="G189" s="49"/>
    </row>
    <row r="190" spans="2:7" ht="12.75">
      <c r="B190" s="59" t="s">
        <v>661</v>
      </c>
      <c r="E190">
        <v>131476.91</v>
      </c>
      <c r="F190" s="49"/>
      <c r="G190" s="49"/>
    </row>
    <row r="191" spans="2:7" ht="12.75">
      <c r="B191" s="59" t="s">
        <v>662</v>
      </c>
      <c r="F191" s="49"/>
      <c r="G191" s="49"/>
    </row>
    <row r="192" spans="2:7" ht="12.75">
      <c r="B192" s="59" t="s">
        <v>663</v>
      </c>
      <c r="E192">
        <v>-31082.57</v>
      </c>
      <c r="F192" s="49"/>
      <c r="G192" s="49"/>
    </row>
    <row r="193" spans="2:9" ht="12.75">
      <c r="B193" t="s">
        <v>664</v>
      </c>
      <c r="F193" s="49">
        <v>55082</v>
      </c>
      <c r="G193" s="49">
        <v>55082</v>
      </c>
      <c r="H193" s="62">
        <f>G193/F193</f>
        <v>1</v>
      </c>
      <c r="I193" s="62">
        <f>G193/G$289</f>
        <v>0.0017777953757780684</v>
      </c>
    </row>
    <row r="194" spans="2:7" ht="12" customHeight="1">
      <c r="B194" s="7"/>
      <c r="C194" s="7"/>
      <c r="F194" s="49"/>
      <c r="G194" s="49"/>
    </row>
    <row r="195" spans="1:14" s="2" customFormat="1" ht="12.75">
      <c r="A195" s="75" t="s">
        <v>188</v>
      </c>
      <c r="B195" s="2" t="s">
        <v>145</v>
      </c>
      <c r="D195" s="8"/>
      <c r="F195" s="46"/>
      <c r="G195" s="46"/>
      <c r="H195" s="62"/>
      <c r="I195" s="62"/>
      <c r="K195" s="93"/>
      <c r="L195" s="93"/>
      <c r="M195" s="93"/>
      <c r="N195" s="93"/>
    </row>
    <row r="196" spans="2:9" ht="12.75">
      <c r="B196" t="s">
        <v>253</v>
      </c>
      <c r="F196" s="46">
        <f>F198+F214+F221+F227+F229++F233+F236+F238+F240+F244</f>
        <v>978434.26</v>
      </c>
      <c r="G196" s="46">
        <f>G198+G214+G221+G227+G229++G233+G236+G238+G240+G244</f>
        <v>896098.04</v>
      </c>
      <c r="H196" s="89">
        <f>G196/F196</f>
        <v>0.9158490014444098</v>
      </c>
      <c r="I196" s="89">
        <f>G196/G$289</f>
        <v>0.028921951849166527</v>
      </c>
    </row>
    <row r="197" spans="2:7" ht="12.75">
      <c r="B197" t="s">
        <v>146</v>
      </c>
      <c r="F197" s="47"/>
      <c r="G197" s="47"/>
    </row>
    <row r="198" spans="2:9" ht="12.75">
      <c r="B198" t="s">
        <v>282</v>
      </c>
      <c r="F198" s="88">
        <f>SUM(F200:F211)</f>
        <v>194915.75</v>
      </c>
      <c r="G198" s="88">
        <f>SUM(G200:G211)</f>
        <v>210351.97</v>
      </c>
      <c r="H198" s="68">
        <f>G198/F198</f>
        <v>1.0791943185709723</v>
      </c>
      <c r="I198" s="68">
        <f>G198/G$289</f>
        <v>0.006789200819719818</v>
      </c>
    </row>
    <row r="199" spans="2:9" ht="12.75">
      <c r="B199" t="s">
        <v>329</v>
      </c>
      <c r="F199" s="47"/>
      <c r="G199" s="47"/>
      <c r="I199" s="62">
        <f>G199/G$289</f>
        <v>0</v>
      </c>
    </row>
    <row r="200" spans="2:9" ht="12.75">
      <c r="B200" t="s">
        <v>333</v>
      </c>
      <c r="F200" s="47">
        <f>148000+140+600</f>
        <v>148740</v>
      </c>
      <c r="G200" s="47">
        <f>145534.34+12+715.76</f>
        <v>146262.1</v>
      </c>
      <c r="H200" s="62">
        <f>G200/F200</f>
        <v>0.98334072878849</v>
      </c>
      <c r="I200" s="62">
        <f>G200/G$289</f>
        <v>0.004720672543327937</v>
      </c>
    </row>
    <row r="201" spans="6:7" ht="12.75">
      <c r="F201" s="47"/>
      <c r="G201" s="47"/>
    </row>
    <row r="202" spans="2:9" ht="12.75">
      <c r="B202" t="s">
        <v>330</v>
      </c>
      <c r="F202" s="47">
        <f>100+600+600</f>
        <v>1300</v>
      </c>
      <c r="G202" s="47">
        <f>83+2581.84+1567.56</f>
        <v>4232.4</v>
      </c>
      <c r="H202" s="62">
        <f>G202/F202</f>
        <v>3.2556923076923074</v>
      </c>
      <c r="I202" s="62">
        <f>G202/G$289</f>
        <v>0.000136602540729151</v>
      </c>
    </row>
    <row r="203" spans="6:7" ht="12.75">
      <c r="F203" s="47"/>
      <c r="G203" s="47"/>
    </row>
    <row r="204" spans="2:9" ht="12.75">
      <c r="B204" t="s">
        <v>331</v>
      </c>
      <c r="F204" s="47">
        <f>50+170+150</f>
        <v>370</v>
      </c>
      <c r="G204" s="47">
        <f>104+590.33+672.55</f>
        <v>1366.88</v>
      </c>
      <c r="H204" s="62">
        <f>G204/F204</f>
        <v>3.6942702702702706</v>
      </c>
      <c r="I204" s="62">
        <f>G204/G$289</f>
        <v>4.411664324540733E-05</v>
      </c>
    </row>
    <row r="205" spans="6:7" ht="12.75">
      <c r="F205" s="47"/>
      <c r="G205" s="47"/>
    </row>
    <row r="206" spans="2:7" ht="12.75">
      <c r="B206" t="s">
        <v>472</v>
      </c>
      <c r="F206" s="47"/>
      <c r="G206" s="47"/>
    </row>
    <row r="207" spans="2:9" ht="12.75">
      <c r="B207" t="s">
        <v>420</v>
      </c>
      <c r="F207" s="47">
        <v>16905.75</v>
      </c>
      <c r="G207" s="47">
        <v>16905.75</v>
      </c>
      <c r="H207" s="62">
        <f>G207/F207</f>
        <v>1</v>
      </c>
      <c r="I207" s="62">
        <f>G207/G$289</f>
        <v>0.0005456403938502611</v>
      </c>
    </row>
    <row r="208" spans="6:7" ht="12.75">
      <c r="F208" s="47"/>
      <c r="G208" s="47"/>
    </row>
    <row r="209" spans="2:7" ht="12.75">
      <c r="B209" t="s">
        <v>478</v>
      </c>
      <c r="F209" s="47"/>
      <c r="G209" s="47"/>
    </row>
    <row r="210" spans="2:7" ht="12.75">
      <c r="B210" t="s">
        <v>473</v>
      </c>
      <c r="F210" s="47"/>
      <c r="G210" s="47"/>
    </row>
    <row r="211" spans="2:9" ht="12.75">
      <c r="B211" t="s">
        <v>474</v>
      </c>
      <c r="F211" s="47">
        <v>27600</v>
      </c>
      <c r="G211" s="47">
        <v>41584.84</v>
      </c>
      <c r="H211" s="62">
        <f>G211/F211</f>
        <v>1.5066971014492752</v>
      </c>
      <c r="I211" s="62">
        <f>G211/G$289</f>
        <v>0.0013421686985670609</v>
      </c>
    </row>
    <row r="212" spans="6:7" ht="12.75">
      <c r="F212" s="47"/>
      <c r="G212" s="47"/>
    </row>
    <row r="213" spans="2:7" ht="12.75">
      <c r="B213" t="s">
        <v>250</v>
      </c>
      <c r="F213" s="47"/>
      <c r="G213" s="47"/>
    </row>
    <row r="214" spans="2:9" ht="12.75">
      <c r="B214" t="s">
        <v>147</v>
      </c>
      <c r="F214" s="88">
        <f>SUM(F216:F219)</f>
        <v>71500</v>
      </c>
      <c r="G214" s="88">
        <f>SUM(G216:G219)</f>
        <v>67692.72</v>
      </c>
      <c r="H214" s="68">
        <f>G214/F214</f>
        <v>0.9467513286713287</v>
      </c>
      <c r="I214" s="68">
        <f>G214/G$289</f>
        <v>0.002184811818558505</v>
      </c>
    </row>
    <row r="215" spans="2:7" ht="12.75">
      <c r="B215" t="s">
        <v>148</v>
      </c>
      <c r="F215" s="47"/>
      <c r="G215" s="47"/>
    </row>
    <row r="216" spans="2:9" ht="12.75">
      <c r="B216" t="s">
        <v>149</v>
      </c>
      <c r="F216" s="47">
        <v>8000</v>
      </c>
      <c r="G216" s="47">
        <v>3345.2</v>
      </c>
      <c r="H216" s="62">
        <f>G216/F216</f>
        <v>0.41814999999999997</v>
      </c>
      <c r="I216" s="62">
        <f>G216/G$289</f>
        <v>0.00010796777696984123</v>
      </c>
    </row>
    <row r="217" spans="2:9" ht="12.75">
      <c r="B217" t="s">
        <v>150</v>
      </c>
      <c r="F217" s="47">
        <v>12300</v>
      </c>
      <c r="G217" s="47">
        <v>14213.44</v>
      </c>
      <c r="H217" s="62">
        <f>G217/F217</f>
        <v>1.1555642276422764</v>
      </c>
      <c r="I217" s="62">
        <f>G217/G$289</f>
        <v>0.0004587449240386883</v>
      </c>
    </row>
    <row r="218" spans="2:9" ht="12.75">
      <c r="B218" t="s">
        <v>151</v>
      </c>
      <c r="F218" s="47">
        <v>11000</v>
      </c>
      <c r="G218" s="47">
        <v>9934.08</v>
      </c>
      <c r="H218" s="62">
        <f>G218/F218</f>
        <v>0.9030981818181818</v>
      </c>
      <c r="I218" s="62">
        <f>G218/G$289</f>
        <v>0.000320626728996939</v>
      </c>
    </row>
    <row r="219" spans="2:9" ht="12.75">
      <c r="B219" t="s">
        <v>338</v>
      </c>
      <c r="F219" s="47">
        <v>40200</v>
      </c>
      <c r="G219" s="47">
        <v>40200</v>
      </c>
      <c r="H219" s="62">
        <f>G219/F219</f>
        <v>1</v>
      </c>
      <c r="I219" s="62">
        <f>G219/G$289</f>
        <v>0.0012974723885530364</v>
      </c>
    </row>
    <row r="220" spans="6:7" ht="12.75">
      <c r="F220" s="47"/>
      <c r="G220" s="47"/>
    </row>
    <row r="221" spans="2:9" ht="12.75">
      <c r="B221" t="s">
        <v>252</v>
      </c>
      <c r="F221" s="88">
        <f>SUM(F223:F227)</f>
        <v>342340</v>
      </c>
      <c r="G221" s="88">
        <f>SUM(G223:G227)</f>
        <v>298825.35</v>
      </c>
      <c r="H221" s="68">
        <f>G221/F221</f>
        <v>0.8728905474090085</v>
      </c>
      <c r="I221" s="68">
        <f>G221/G$289</f>
        <v>0.009644717428475051</v>
      </c>
    </row>
    <row r="222" spans="2:7" ht="12.75">
      <c r="B222" t="s">
        <v>152</v>
      </c>
      <c r="F222" s="47"/>
      <c r="G222" s="47"/>
    </row>
    <row r="223" spans="2:9" ht="12.75">
      <c r="B223" t="s">
        <v>153</v>
      </c>
      <c r="F223" s="47">
        <v>101700</v>
      </c>
      <c r="G223" s="47">
        <v>87423.82</v>
      </c>
      <c r="H223" s="62">
        <f>G223/F223</f>
        <v>0.8596245821042282</v>
      </c>
      <c r="I223" s="62">
        <f>G223/G$289</f>
        <v>0.0028216416057669333</v>
      </c>
    </row>
    <row r="224" spans="2:9" ht="12.75">
      <c r="B224" t="s">
        <v>281</v>
      </c>
      <c r="F224" s="47">
        <v>31860</v>
      </c>
      <c r="G224" s="47">
        <v>30651.18</v>
      </c>
      <c r="H224" s="62">
        <f>G224/F224</f>
        <v>0.9620583804143126</v>
      </c>
      <c r="I224" s="62">
        <f>G224/G$289</f>
        <v>0.000989280092700723</v>
      </c>
    </row>
    <row r="225" spans="2:9" ht="12.75">
      <c r="B225" s="7" t="s">
        <v>251</v>
      </c>
      <c r="F225" s="47">
        <v>85100</v>
      </c>
      <c r="G225" s="47">
        <v>92990.99</v>
      </c>
      <c r="H225" s="62">
        <f>G225/F225</f>
        <v>1.0927260869565218</v>
      </c>
      <c r="I225" s="62">
        <f>G225/G$289</f>
        <v>0.003001324425602277</v>
      </c>
    </row>
    <row r="226" spans="2:9" ht="12.75">
      <c r="B226" s="7" t="s">
        <v>332</v>
      </c>
      <c r="F226" s="47">
        <v>123680</v>
      </c>
      <c r="G226" s="47">
        <v>87759.36</v>
      </c>
      <c r="H226" s="62">
        <f>G226/F226</f>
        <v>0.7095679172056921</v>
      </c>
      <c r="I226" s="62">
        <f>G226/G$289</f>
        <v>0.0028324713044051196</v>
      </c>
    </row>
    <row r="227" spans="6:7" ht="12.75">
      <c r="F227" s="47"/>
      <c r="G227" s="47"/>
    </row>
    <row r="228" spans="2:7" ht="12.75">
      <c r="B228" t="s">
        <v>479</v>
      </c>
      <c r="F228" s="47"/>
      <c r="G228" s="47"/>
    </row>
    <row r="229" spans="2:9" ht="12.75">
      <c r="B229" t="s">
        <v>477</v>
      </c>
      <c r="F229" s="88">
        <v>16340</v>
      </c>
      <c r="G229" s="88">
        <v>16340</v>
      </c>
      <c r="H229" s="68">
        <f>G229/F229</f>
        <v>1</v>
      </c>
      <c r="I229" s="68">
        <f>G229/G$289</f>
        <v>0.0005273805678844929</v>
      </c>
    </row>
    <row r="230" spans="6:7" ht="12.75">
      <c r="F230" s="47"/>
      <c r="G230" s="47"/>
    </row>
    <row r="231" spans="2:7" ht="12.75">
      <c r="B231" t="s">
        <v>616</v>
      </c>
      <c r="F231" s="47"/>
      <c r="G231" s="47"/>
    </row>
    <row r="232" spans="2:7" ht="12.75">
      <c r="B232" t="s">
        <v>475</v>
      </c>
      <c r="F232" s="47"/>
      <c r="G232" s="47"/>
    </row>
    <row r="233" spans="2:9" ht="12.75">
      <c r="B233" t="s">
        <v>476</v>
      </c>
      <c r="F233" s="88">
        <v>102142</v>
      </c>
      <c r="G233" s="88">
        <v>51695.2</v>
      </c>
      <c r="H233" s="68">
        <f>G233/F233</f>
        <v>0.5061111002330089</v>
      </c>
      <c r="I233" s="68">
        <f>G233/G$289</f>
        <v>0.0016684849408141026</v>
      </c>
    </row>
    <row r="234" spans="6:7" ht="12.75">
      <c r="F234" s="47"/>
      <c r="G234" s="47"/>
    </row>
    <row r="235" spans="2:7" ht="12.75">
      <c r="B235" t="s">
        <v>470</v>
      </c>
      <c r="F235" s="47"/>
      <c r="G235" s="47"/>
    </row>
    <row r="236" spans="2:9" ht="12.75">
      <c r="B236" t="s">
        <v>471</v>
      </c>
      <c r="F236" s="88">
        <v>50156.51</v>
      </c>
      <c r="G236" s="88">
        <v>50156.51</v>
      </c>
      <c r="H236" s="68">
        <v>0</v>
      </c>
      <c r="I236" s="68">
        <v>0</v>
      </c>
    </row>
    <row r="237" spans="6:9" ht="12.75">
      <c r="F237" s="88"/>
      <c r="G237" s="88"/>
      <c r="H237" s="68"/>
      <c r="I237" s="68"/>
    </row>
    <row r="238" spans="2:9" ht="12.75">
      <c r="B238" t="s">
        <v>665</v>
      </c>
      <c r="F238" s="88">
        <v>120</v>
      </c>
      <c r="G238" s="88">
        <v>120</v>
      </c>
      <c r="H238" s="68">
        <f>G238/F238</f>
        <v>1</v>
      </c>
      <c r="I238" s="68">
        <f>G238/G$289</f>
        <v>3.873051906128467E-06</v>
      </c>
    </row>
    <row r="239" spans="6:9" ht="12.75">
      <c r="F239" s="88"/>
      <c r="G239" s="88"/>
      <c r="H239" s="68"/>
      <c r="I239" s="68"/>
    </row>
    <row r="240" spans="2:9" ht="12.75">
      <c r="B240" t="s">
        <v>666</v>
      </c>
      <c r="F240" s="88">
        <v>920</v>
      </c>
      <c r="G240" s="88">
        <v>916.29</v>
      </c>
      <c r="H240" s="68">
        <f>G240/F240</f>
        <v>0.9959673913043477</v>
      </c>
      <c r="I240" s="68">
        <f>G240/G$289</f>
        <v>2.9573656092220442E-05</v>
      </c>
    </row>
    <row r="241" spans="6:9" ht="12.75">
      <c r="F241" s="88"/>
      <c r="G241" s="88"/>
      <c r="H241" s="68"/>
      <c r="I241" s="68"/>
    </row>
    <row r="242" spans="2:9" ht="12.75">
      <c r="B242" t="s">
        <v>667</v>
      </c>
      <c r="F242" s="88"/>
      <c r="G242" s="88"/>
      <c r="H242" s="68"/>
      <c r="I242" s="68"/>
    </row>
    <row r="243" spans="2:9" ht="12.75">
      <c r="B243" t="s">
        <v>668</v>
      </c>
      <c r="F243" s="88"/>
      <c r="G243" s="88"/>
      <c r="H243" s="68"/>
      <c r="I243" s="68"/>
    </row>
    <row r="244" spans="2:9" ht="12.75">
      <c r="B244" t="s">
        <v>669</v>
      </c>
      <c r="F244" s="88">
        <v>200000</v>
      </c>
      <c r="G244" s="88">
        <v>200000</v>
      </c>
      <c r="H244" s="68">
        <f>G244/F244</f>
        <v>1</v>
      </c>
      <c r="I244" s="68">
        <f>G244/G$289</f>
        <v>0.006455086510214112</v>
      </c>
    </row>
    <row r="245" spans="6:9" ht="12.75">
      <c r="F245" s="88"/>
      <c r="G245" s="88"/>
      <c r="H245" s="68"/>
      <c r="I245" s="68"/>
    </row>
    <row r="246" spans="1:14" s="2" customFormat="1" ht="12.75">
      <c r="A246" s="75" t="s">
        <v>334</v>
      </c>
      <c r="B246" s="2" t="s">
        <v>335</v>
      </c>
      <c r="D246" s="8"/>
      <c r="F246" s="47"/>
      <c r="G246" s="47"/>
      <c r="H246" s="62"/>
      <c r="I246" s="62"/>
      <c r="K246" s="93"/>
      <c r="L246" s="93"/>
      <c r="M246" s="93"/>
      <c r="N246" s="93"/>
    </row>
    <row r="247" spans="2:9" ht="12.75">
      <c r="B247" t="s">
        <v>253</v>
      </c>
      <c r="F247" s="46">
        <f>SUM(F250:F261)</f>
        <v>1740685</v>
      </c>
      <c r="G247" s="46">
        <f>SUM(G250:G261)</f>
        <v>1552649.3599999999</v>
      </c>
      <c r="H247" s="89">
        <f>G247/F247</f>
        <v>0.8919760668932057</v>
      </c>
      <c r="I247" s="89">
        <f>G247/G$289</f>
        <v>0.05011242969414286</v>
      </c>
    </row>
    <row r="248" spans="2:7" ht="12.75">
      <c r="B248" t="s">
        <v>154</v>
      </c>
      <c r="F248" s="47"/>
      <c r="G248" s="47"/>
    </row>
    <row r="249" spans="2:7" ht="12.75">
      <c r="B249" t="s">
        <v>386</v>
      </c>
      <c r="F249" s="47"/>
      <c r="G249" s="47"/>
    </row>
    <row r="250" spans="2:9" ht="12.75">
      <c r="B250" t="s">
        <v>387</v>
      </c>
      <c r="F250" s="47">
        <v>1200000</v>
      </c>
      <c r="G250" s="47">
        <v>1048126.32</v>
      </c>
      <c r="H250" s="62">
        <f>G250/F250</f>
        <v>0.8734386</v>
      </c>
      <c r="I250" s="62">
        <f>G250/G$289</f>
        <v>0.033828730346161795</v>
      </c>
    </row>
    <row r="251" spans="2:9" ht="12.75">
      <c r="B251" t="s">
        <v>480</v>
      </c>
      <c r="F251" s="47">
        <v>1200</v>
      </c>
      <c r="G251" s="47">
        <v>3008.87</v>
      </c>
      <c r="H251" s="62">
        <f>G251/F251</f>
        <v>2.5073916666666665</v>
      </c>
      <c r="I251" s="62">
        <f>G251/G$289</f>
        <v>9.711258073993966E-05</v>
      </c>
    </row>
    <row r="252" spans="2:9" ht="12.75">
      <c r="B252" t="s">
        <v>617</v>
      </c>
      <c r="F252" s="47">
        <v>13000</v>
      </c>
      <c r="G252" s="47">
        <v>11893.93</v>
      </c>
      <c r="H252" s="62">
        <f>G252/F252</f>
        <v>0.9149176923076924</v>
      </c>
      <c r="I252" s="62">
        <f>G252/G$289</f>
        <v>0.00038388173548215465</v>
      </c>
    </row>
    <row r="253" spans="2:7" ht="12.75">
      <c r="B253" t="s">
        <v>618</v>
      </c>
      <c r="F253" s="47"/>
      <c r="G253" s="47"/>
    </row>
    <row r="254" spans="2:9" ht="12.75">
      <c r="B254" t="s">
        <v>299</v>
      </c>
      <c r="F254" s="47">
        <v>135065</v>
      </c>
      <c r="G254" s="47">
        <v>132266.33</v>
      </c>
      <c r="H254" s="62">
        <f aca="true" t="shared" si="4" ref="H254:H261">G254/F254</f>
        <v>0.9792790878465922</v>
      </c>
      <c r="I254" s="62">
        <f aca="true" t="shared" si="5" ref="I254:I261">G254/G$289</f>
        <v>0.00426895301269264</v>
      </c>
    </row>
    <row r="255" spans="2:9" ht="12.75">
      <c r="B255" t="s">
        <v>619</v>
      </c>
      <c r="F255" s="47">
        <v>125000</v>
      </c>
      <c r="G255" s="47">
        <v>85431.48</v>
      </c>
      <c r="H255" s="62">
        <f t="shared" si="4"/>
        <v>0.6834518399999999</v>
      </c>
      <c r="I255" s="62">
        <f t="shared" si="5"/>
        <v>0.002757337970478133</v>
      </c>
    </row>
    <row r="256" spans="2:9" ht="12.75">
      <c r="B256" t="s">
        <v>620</v>
      </c>
      <c r="F256" s="47">
        <v>120500</v>
      </c>
      <c r="G256" s="47">
        <v>120500</v>
      </c>
      <c r="H256" s="62">
        <f t="shared" si="4"/>
        <v>1</v>
      </c>
      <c r="I256" s="62">
        <f t="shared" si="5"/>
        <v>0.0038891896224040024</v>
      </c>
    </row>
    <row r="257" spans="2:9" ht="12.75">
      <c r="B257" t="s">
        <v>621</v>
      </c>
      <c r="F257" s="47">
        <v>10000</v>
      </c>
      <c r="G257" s="47">
        <v>13461.41</v>
      </c>
      <c r="H257" s="62">
        <f t="shared" si="4"/>
        <v>1.346141</v>
      </c>
      <c r="I257" s="62">
        <f t="shared" si="5"/>
        <v>0.0004344728304973067</v>
      </c>
    </row>
    <row r="258" spans="2:9" ht="12.75">
      <c r="B258" t="s">
        <v>622</v>
      </c>
      <c r="F258" s="47">
        <v>120000</v>
      </c>
      <c r="G258" s="47">
        <v>120000</v>
      </c>
      <c r="H258" s="62">
        <f t="shared" si="4"/>
        <v>1</v>
      </c>
      <c r="I258" s="62">
        <f t="shared" si="5"/>
        <v>0.0038730519061284667</v>
      </c>
    </row>
    <row r="259" spans="2:7" ht="12.75">
      <c r="B259" t="s">
        <v>670</v>
      </c>
      <c r="F259" s="47"/>
      <c r="G259" s="47"/>
    </row>
    <row r="260" spans="2:9" ht="12.75">
      <c r="B260" t="s">
        <v>671</v>
      </c>
      <c r="F260" s="47">
        <v>15000</v>
      </c>
      <c r="G260" s="47">
        <v>15000</v>
      </c>
      <c r="H260" s="62">
        <f>G260/F260</f>
        <v>1</v>
      </c>
      <c r="I260" s="62">
        <f>G260/G$289</f>
        <v>0.00048413148826605834</v>
      </c>
    </row>
    <row r="261" spans="2:9" ht="12.75">
      <c r="B261" t="s">
        <v>715</v>
      </c>
      <c r="F261" s="47">
        <f>200+500+80+40+100</f>
        <v>920</v>
      </c>
      <c r="G261" s="47">
        <f>272+554.55+304.32+1226.4+603.75</f>
        <v>2961.02</v>
      </c>
      <c r="H261" s="62">
        <f t="shared" si="4"/>
        <v>3.2185</v>
      </c>
      <c r="I261" s="62">
        <f t="shared" si="5"/>
        <v>9.556820129237095E-05</v>
      </c>
    </row>
    <row r="262" spans="6:7" ht="12.75">
      <c r="F262" s="47"/>
      <c r="G262" s="47"/>
    </row>
    <row r="263" spans="1:14" s="16" customFormat="1" ht="12.75">
      <c r="A263" s="75" t="s">
        <v>189</v>
      </c>
      <c r="B263" s="16" t="s">
        <v>305</v>
      </c>
      <c r="D263" s="17"/>
      <c r="F263" s="50"/>
      <c r="G263" s="50"/>
      <c r="H263" s="62"/>
      <c r="I263" s="62"/>
      <c r="K263" s="44"/>
      <c r="L263" s="44"/>
      <c r="M263" s="44"/>
      <c r="N263" s="44"/>
    </row>
    <row r="264" spans="1:14" s="15" customFormat="1" ht="12.75">
      <c r="A264" s="59"/>
      <c r="B264" s="15" t="s">
        <v>254</v>
      </c>
      <c r="D264" s="20"/>
      <c r="F264" s="50">
        <f>+F266+F272+F278</f>
        <v>233315</v>
      </c>
      <c r="G264" s="50">
        <f>+G266+G272+G278</f>
        <v>221969.04</v>
      </c>
      <c r="H264" s="89">
        <f>G264/F264</f>
        <v>0.951370636264278</v>
      </c>
      <c r="I264" s="89">
        <f>G264/G$289</f>
        <v>0.007164146778945883</v>
      </c>
      <c r="K264" s="52"/>
      <c r="L264" s="52"/>
      <c r="M264" s="52"/>
      <c r="N264" s="52"/>
    </row>
    <row r="265" spans="2:7" ht="12.75">
      <c r="B265" t="s">
        <v>154</v>
      </c>
      <c r="F265" s="47"/>
      <c r="G265" s="47"/>
    </row>
    <row r="266" spans="2:9" ht="12.75">
      <c r="B266" t="s">
        <v>336</v>
      </c>
      <c r="F266" s="47">
        <f>SUM(F268:F270)</f>
        <v>158025</v>
      </c>
      <c r="G266" s="47">
        <f>SUM(G268:G270)</f>
        <v>157991.14</v>
      </c>
      <c r="H266" s="62">
        <f>G266/F266</f>
        <v>0.999785730105996</v>
      </c>
      <c r="I266" s="62">
        <f>G266/G$289</f>
        <v>0.005099232382736746</v>
      </c>
    </row>
    <row r="267" spans="2:7" ht="12.75">
      <c r="B267" t="s">
        <v>161</v>
      </c>
      <c r="F267" s="47"/>
      <c r="G267" s="47"/>
    </row>
    <row r="268" spans="2:9" ht="12.75">
      <c r="B268" t="s">
        <v>162</v>
      </c>
      <c r="F268" s="47">
        <v>100025</v>
      </c>
      <c r="G268" s="47">
        <v>99991.14</v>
      </c>
      <c r="H268" s="62">
        <f>G268/F268</f>
        <v>0.9996614846288427</v>
      </c>
      <c r="I268" s="62">
        <f>G268/G$289</f>
        <v>0.0032272572947746533</v>
      </c>
    </row>
    <row r="269" spans="2:9" ht="12.75">
      <c r="B269" t="s">
        <v>163</v>
      </c>
      <c r="F269" s="47">
        <v>0</v>
      </c>
      <c r="G269" s="47">
        <v>0</v>
      </c>
      <c r="I269" s="62">
        <f>G269/G$289</f>
        <v>0</v>
      </c>
    </row>
    <row r="270" spans="2:9" ht="12.75">
      <c r="B270" t="s">
        <v>255</v>
      </c>
      <c r="F270" s="47">
        <f>58000</f>
        <v>58000</v>
      </c>
      <c r="G270" s="47">
        <f>58000</f>
        <v>58000</v>
      </c>
      <c r="H270" s="62">
        <f>G270/F270</f>
        <v>1</v>
      </c>
      <c r="I270" s="62">
        <f>G270/G$289</f>
        <v>0.0018719750879620924</v>
      </c>
    </row>
    <row r="271" spans="6:7" ht="12.75">
      <c r="F271" s="47"/>
      <c r="G271" s="47"/>
    </row>
    <row r="272" spans="2:9" ht="12.75">
      <c r="B272" t="s">
        <v>481</v>
      </c>
      <c r="F272" s="47">
        <f>SUM(F274:F275)</f>
        <v>24000</v>
      </c>
      <c r="G272" s="47">
        <f>SUM(G274:G275)</f>
        <v>21889.24</v>
      </c>
      <c r="H272" s="62">
        <f>G272/F272</f>
        <v>0.9120516666666667</v>
      </c>
      <c r="I272" s="62">
        <f>G272/G$289</f>
        <v>0.0007064846892141958</v>
      </c>
    </row>
    <row r="273" spans="2:7" ht="12.75">
      <c r="B273" t="s">
        <v>161</v>
      </c>
      <c r="F273" s="47"/>
      <c r="G273" s="47"/>
    </row>
    <row r="274" spans="2:9" ht="12.75">
      <c r="B274" t="s">
        <v>482</v>
      </c>
      <c r="F274" s="47">
        <v>16500</v>
      </c>
      <c r="G274" s="47">
        <v>15256.6</v>
      </c>
      <c r="H274" s="62">
        <f>G274/F274</f>
        <v>0.9246424242424243</v>
      </c>
      <c r="I274" s="62">
        <f>G274/G$289</f>
        <v>0.0004924133642586631</v>
      </c>
    </row>
    <row r="275" spans="2:9" ht="12.75">
      <c r="B275" t="s">
        <v>483</v>
      </c>
      <c r="F275" s="47">
        <v>7500</v>
      </c>
      <c r="G275" s="47">
        <v>6632.64</v>
      </c>
      <c r="H275" s="62">
        <f>G275/F275</f>
        <v>0.884352</v>
      </c>
      <c r="I275" s="62">
        <f>G275/G$289</f>
        <v>0.00021407132495553265</v>
      </c>
    </row>
    <row r="276" spans="6:7" ht="12.75">
      <c r="F276" s="47"/>
      <c r="G276" s="47"/>
    </row>
    <row r="277" spans="2:9" ht="12.75">
      <c r="B277" t="s">
        <v>672</v>
      </c>
      <c r="F277" s="47"/>
      <c r="G277" s="47"/>
      <c r="I277" s="62">
        <f>G277/G$289</f>
        <v>0</v>
      </c>
    </row>
    <row r="278" spans="2:9" ht="12.75">
      <c r="B278" t="s">
        <v>716</v>
      </c>
      <c r="F278" s="47">
        <v>51290</v>
      </c>
      <c r="G278" s="47">
        <v>42088.66</v>
      </c>
      <c r="H278" s="62">
        <f>G278/F278</f>
        <v>0.8206016767401053</v>
      </c>
      <c r="I278" s="62">
        <f>G278/G$289</f>
        <v>0.0013584297069949415</v>
      </c>
    </row>
    <row r="279" spans="6:7" ht="12.75">
      <c r="F279" s="47"/>
      <c r="G279" s="47"/>
    </row>
    <row r="280" spans="1:7" ht="12.75">
      <c r="A280" s="75" t="s">
        <v>191</v>
      </c>
      <c r="B280" s="16" t="s">
        <v>429</v>
      </c>
      <c r="C280" s="16"/>
      <c r="D280" s="17"/>
      <c r="F280" s="47"/>
      <c r="G280" s="47"/>
    </row>
    <row r="281" spans="6:7" ht="12.75">
      <c r="F281" s="47"/>
      <c r="G281" s="47"/>
    </row>
    <row r="282" spans="2:9" ht="12.75">
      <c r="B282" s="15" t="s">
        <v>254</v>
      </c>
      <c r="F282" s="46">
        <f>SUM(F284:F286)</f>
        <v>101690</v>
      </c>
      <c r="G282" s="46">
        <f>SUM(G284:G286)</f>
        <v>107755.34999999999</v>
      </c>
      <c r="H282" s="89">
        <f>G282/F282</f>
        <v>1.0596454911987412</v>
      </c>
      <c r="I282" s="89">
        <f>G282/G$289</f>
        <v>0.0034778505309420006</v>
      </c>
    </row>
    <row r="283" spans="2:7" ht="12.75">
      <c r="B283" t="s">
        <v>154</v>
      </c>
      <c r="F283" s="47"/>
      <c r="G283" s="47"/>
    </row>
    <row r="284" spans="2:9" ht="12.75">
      <c r="B284" t="s">
        <v>485</v>
      </c>
      <c r="F284" s="47">
        <v>100000</v>
      </c>
      <c r="G284" s="47">
        <v>103706.56</v>
      </c>
      <c r="H284" s="62">
        <f>G284/F284</f>
        <v>1.0370656</v>
      </c>
      <c r="I284" s="62">
        <f>G284/G$289</f>
        <v>0.003347174082383552</v>
      </c>
    </row>
    <row r="285" spans="2:9" ht="12.75">
      <c r="B285" t="s">
        <v>484</v>
      </c>
      <c r="F285" s="47">
        <v>1600</v>
      </c>
      <c r="G285" s="47">
        <v>3957.53</v>
      </c>
      <c r="H285" s="62">
        <f>G285/F285</f>
        <v>2.47345625</v>
      </c>
      <c r="I285" s="62">
        <f>G285/G$289</f>
        <v>0.00012773099258383828</v>
      </c>
    </row>
    <row r="286" spans="2:9" ht="12.75">
      <c r="B286" t="s">
        <v>486</v>
      </c>
      <c r="F286" s="47">
        <v>90</v>
      </c>
      <c r="G286" s="47">
        <v>91.26</v>
      </c>
      <c r="H286" s="62">
        <f>G286/F286</f>
        <v>1.014</v>
      </c>
      <c r="I286" s="62">
        <f>G286/G$289</f>
        <v>2.945455974610699E-06</v>
      </c>
    </row>
    <row r="287" spans="6:7" ht="12.75">
      <c r="F287" s="47"/>
      <c r="G287" s="47"/>
    </row>
    <row r="288" spans="6:7" ht="12.75">
      <c r="F288" s="47"/>
      <c r="G288" s="47"/>
    </row>
    <row r="289" spans="1:14" s="1" customFormat="1" ht="15">
      <c r="A289" s="75"/>
      <c r="B289" s="1" t="s">
        <v>158</v>
      </c>
      <c r="D289" s="11"/>
      <c r="F289" s="46">
        <f>F282+F264+F247+F196+F166+F142+F137+F133+F119+F111+F42+F32</f>
        <v>30461240.34</v>
      </c>
      <c r="G289" s="46">
        <f>G282+G264+G247+G196+G166+G142+G137+G133+G119+G111+G42+G32</f>
        <v>30983318.299999997</v>
      </c>
      <c r="H289" s="89">
        <f>G289/F289</f>
        <v>1.017139090666457</v>
      </c>
      <c r="I289" s="89">
        <f>G289/G$289</f>
        <v>1</v>
      </c>
      <c r="K289" s="95"/>
      <c r="L289" s="95"/>
      <c r="M289" s="95"/>
      <c r="N289" s="95"/>
    </row>
    <row r="290" spans="1:14" s="1" customFormat="1" ht="15">
      <c r="A290" s="75"/>
      <c r="D290" s="11"/>
      <c r="F290" s="46"/>
      <c r="G290" s="46"/>
      <c r="H290" s="66"/>
      <c r="I290" s="62"/>
      <c r="K290" s="95"/>
      <c r="L290" s="95"/>
      <c r="M290" s="95"/>
      <c r="N290" s="95"/>
    </row>
    <row r="291" spans="1:14" s="1" customFormat="1" ht="15">
      <c r="A291" s="75"/>
      <c r="D291" s="11"/>
      <c r="F291" s="46"/>
      <c r="G291" s="46"/>
      <c r="H291" s="66"/>
      <c r="I291" s="62"/>
      <c r="K291" s="95"/>
      <c r="L291" s="95"/>
      <c r="M291" s="95"/>
      <c r="N291" s="95"/>
    </row>
    <row r="292" spans="1:8" ht="15">
      <c r="A292" s="86" t="s">
        <v>159</v>
      </c>
      <c r="F292" s="47"/>
      <c r="G292" s="47"/>
      <c r="H292" s="66"/>
    </row>
    <row r="293" spans="6:8" ht="12.75">
      <c r="F293" s="47"/>
      <c r="G293" s="47"/>
      <c r="H293" s="66"/>
    </row>
    <row r="294" spans="1:14" s="10" customFormat="1" ht="15">
      <c r="A294" s="77" t="s">
        <v>194</v>
      </c>
      <c r="B294" s="5"/>
      <c r="C294" s="5"/>
      <c r="D294" s="12"/>
      <c r="E294" s="5"/>
      <c r="F294" s="53">
        <f>F296+F299+F306+F309+F327+F336+F360+F364+F380+F384+F388+F524+F532+F556+F569+F585+F591</f>
        <v>22143452.85</v>
      </c>
      <c r="G294" s="53">
        <f>G296+G299+G306+G309+G327+G336+G360+G364+G380+G384+G388+G524+G532+G556+G569+G585+G591</f>
        <v>19937078.85</v>
      </c>
      <c r="H294" s="101">
        <f>G294/F294</f>
        <v>0.9003599838315188</v>
      </c>
      <c r="I294" s="101">
        <f>G294/G$729</f>
        <v>0.6274485625402261</v>
      </c>
      <c r="K294" s="96"/>
      <c r="L294" s="96"/>
      <c r="M294" s="96"/>
      <c r="N294" s="96"/>
    </row>
    <row r="295" spans="1:9" ht="12.75">
      <c r="A295" s="75" t="s">
        <v>154</v>
      </c>
      <c r="F295" s="47"/>
      <c r="G295" s="47"/>
      <c r="I295" s="67"/>
    </row>
    <row r="296" spans="1:14" s="16" customFormat="1" ht="12.75">
      <c r="A296" s="75" t="s">
        <v>234</v>
      </c>
      <c r="B296" s="16" t="s">
        <v>169</v>
      </c>
      <c r="D296" s="17"/>
      <c r="F296" s="50">
        <f>SUM(F297:F297)</f>
        <v>800</v>
      </c>
      <c r="G296" s="50">
        <f>SUM(G297:G297)</f>
        <v>197.45</v>
      </c>
      <c r="H296" s="89">
        <f>G296/F296</f>
        <v>0.2468125</v>
      </c>
      <c r="I296" s="99">
        <f>G296/G$729</f>
        <v>6.214035647131306E-06</v>
      </c>
      <c r="K296" s="44"/>
      <c r="L296" s="44"/>
      <c r="M296" s="44"/>
      <c r="N296" s="44"/>
    </row>
    <row r="297" spans="1:9" ht="12.75">
      <c r="A297" s="75"/>
      <c r="B297" t="s">
        <v>409</v>
      </c>
      <c r="F297" s="47">
        <v>800</v>
      </c>
      <c r="G297" s="47">
        <v>197.45</v>
      </c>
      <c r="H297" s="62">
        <f>G297/F297</f>
        <v>0.2468125</v>
      </c>
      <c r="I297" s="67">
        <f>G297/G$729</f>
        <v>6.214035647131306E-06</v>
      </c>
    </row>
    <row r="298" spans="1:9" ht="12.75">
      <c r="A298" s="75"/>
      <c r="F298" s="47"/>
      <c r="G298" s="47"/>
      <c r="I298" s="67"/>
    </row>
    <row r="299" spans="1:14" s="2" customFormat="1" ht="12.75">
      <c r="A299" s="75" t="s">
        <v>192</v>
      </c>
      <c r="B299" s="2" t="s">
        <v>193</v>
      </c>
      <c r="D299" s="8"/>
      <c r="F299" s="46">
        <f>SUM(F300:F304)</f>
        <v>678721</v>
      </c>
      <c r="G299" s="46">
        <f>SUM(G300:G304)</f>
        <v>538164.0400000003</v>
      </c>
      <c r="H299" s="89">
        <f>G299/F299</f>
        <v>0.7929090745681956</v>
      </c>
      <c r="I299" s="99">
        <f>G299/G$729</f>
        <v>0.0169367968020471</v>
      </c>
      <c r="K299" s="93"/>
      <c r="L299" s="93"/>
      <c r="M299" s="93"/>
      <c r="N299" s="93"/>
    </row>
    <row r="300" spans="1:14" s="2" customFormat="1" ht="12.75">
      <c r="A300" s="75"/>
      <c r="B300" t="s">
        <v>256</v>
      </c>
      <c r="D300" s="8"/>
      <c r="F300" s="49">
        <v>28200</v>
      </c>
      <c r="G300" s="49">
        <v>28200</v>
      </c>
      <c r="H300" s="62">
        <f>G300/F300</f>
        <v>1</v>
      </c>
      <c r="I300" s="67">
        <f>G300/G$729</f>
        <v>0.0008874945821681581</v>
      </c>
      <c r="K300" s="93"/>
      <c r="L300" s="93"/>
      <c r="M300" s="93"/>
      <c r="N300" s="93"/>
    </row>
    <row r="301" spans="2:9" ht="12.75">
      <c r="B301" t="s">
        <v>257</v>
      </c>
      <c r="F301" s="51">
        <f>2180219-1643698-20000</f>
        <v>516521</v>
      </c>
      <c r="G301" s="51">
        <f>1935408.82-1455650.39-16348</f>
        <v>463410.43000000017</v>
      </c>
      <c r="H301" s="62">
        <f>G301/F301</f>
        <v>0.897176358754049</v>
      </c>
      <c r="I301" s="67">
        <f>G301/G$729</f>
        <v>0.014584193118624704</v>
      </c>
    </row>
    <row r="302" spans="2:9" ht="12.75">
      <c r="B302" t="s">
        <v>362</v>
      </c>
      <c r="F302" s="51"/>
      <c r="G302" s="51"/>
      <c r="I302" s="67"/>
    </row>
    <row r="303" spans="2:9" ht="12.75">
      <c r="B303" t="s">
        <v>363</v>
      </c>
      <c r="F303" s="51">
        <v>120000</v>
      </c>
      <c r="G303" s="51">
        <v>39650.8</v>
      </c>
      <c r="H303" s="62">
        <f>G303/F303</f>
        <v>0.33042333333333335</v>
      </c>
      <c r="I303" s="67">
        <f>G303/G$729</f>
        <v>0.001247867736830965</v>
      </c>
    </row>
    <row r="304" spans="2:9" ht="12.75">
      <c r="B304" t="s">
        <v>487</v>
      </c>
      <c r="F304" s="51">
        <f>11000+3000</f>
        <v>14000</v>
      </c>
      <c r="G304" s="51">
        <f>3937.75+2965.06</f>
        <v>6902.8099999999995</v>
      </c>
      <c r="H304" s="62">
        <f>G304/F304</f>
        <v>0.4930578571428571</v>
      </c>
      <c r="I304" s="67">
        <f>G304/G$729</f>
        <v>0.0002172413644232689</v>
      </c>
    </row>
    <row r="305" spans="6:9" ht="12.75">
      <c r="F305" s="51"/>
      <c r="G305" s="51"/>
      <c r="I305" s="67"/>
    </row>
    <row r="306" spans="1:14" s="2" customFormat="1" ht="12.75">
      <c r="A306" s="75" t="s">
        <v>170</v>
      </c>
      <c r="B306" s="2" t="s">
        <v>171</v>
      </c>
      <c r="D306" s="8"/>
      <c r="F306" s="46">
        <f>F307</f>
        <v>284683</v>
      </c>
      <c r="G306" s="46">
        <f>G307</f>
        <v>283203.61</v>
      </c>
      <c r="H306" s="89">
        <f>G306/F306</f>
        <v>0.9948033777921407</v>
      </c>
      <c r="I306" s="99">
        <f>G306/G$729</f>
        <v>0.008912825160477447</v>
      </c>
      <c r="K306" s="93"/>
      <c r="L306" s="93"/>
      <c r="M306" s="93"/>
      <c r="N306" s="93"/>
    </row>
    <row r="307" spans="2:9" ht="12.75">
      <c r="B307" t="s">
        <v>410</v>
      </c>
      <c r="F307" s="51">
        <v>284683</v>
      </c>
      <c r="G307" s="51">
        <v>283203.61</v>
      </c>
      <c r="H307" s="62">
        <f>G307/F307</f>
        <v>0.9948033777921407</v>
      </c>
      <c r="I307" s="67">
        <f>G307/G$729</f>
        <v>0.008912825160477447</v>
      </c>
    </row>
    <row r="308" spans="6:9" ht="12.75">
      <c r="F308" s="51"/>
      <c r="G308" s="51"/>
      <c r="I308" s="67"/>
    </row>
    <row r="309" spans="1:14" s="2" customFormat="1" ht="14.25" customHeight="1">
      <c r="A309" s="75" t="s">
        <v>172</v>
      </c>
      <c r="B309" s="2" t="s">
        <v>173</v>
      </c>
      <c r="D309" s="8"/>
      <c r="F309" s="46">
        <f>SUM(F310:F325)</f>
        <v>1303649</v>
      </c>
      <c r="G309" s="46">
        <f>SUM(G310:G325)</f>
        <v>1249125.32</v>
      </c>
      <c r="H309" s="89">
        <f>G309/F309</f>
        <v>0.9581761041507338</v>
      </c>
      <c r="I309" s="99">
        <f>G309/G$729</f>
        <v>0.03931177141663358</v>
      </c>
      <c r="K309" s="93"/>
      <c r="L309" s="93"/>
      <c r="M309" s="93"/>
      <c r="N309" s="93"/>
    </row>
    <row r="310" spans="2:9" ht="12.75">
      <c r="B310" t="s">
        <v>302</v>
      </c>
      <c r="F310" s="47"/>
      <c r="G310" s="47"/>
      <c r="I310" s="67"/>
    </row>
    <row r="311" spans="2:9" ht="12.75">
      <c r="B311" t="s">
        <v>195</v>
      </c>
      <c r="F311" s="47">
        <f>246200-88000-40700</f>
        <v>117500</v>
      </c>
      <c r="G311" s="47">
        <f>201944.8-40700-65117.5</f>
        <v>96127.29999999999</v>
      </c>
      <c r="H311" s="62">
        <f>G311/F311</f>
        <v>0.8181046808510637</v>
      </c>
      <c r="I311" s="67">
        <f>G311/G$729</f>
        <v>0.003025264466257205</v>
      </c>
    </row>
    <row r="312" spans="2:9" ht="12.75">
      <c r="B312" t="s">
        <v>673</v>
      </c>
      <c r="F312" s="47"/>
      <c r="G312" s="47"/>
      <c r="I312" s="67"/>
    </row>
    <row r="313" spans="2:9" ht="12.75">
      <c r="B313" t="s">
        <v>674</v>
      </c>
      <c r="F313" s="47">
        <v>40700</v>
      </c>
      <c r="G313" s="47">
        <v>40700</v>
      </c>
      <c r="H313" s="62">
        <f>G313/F313</f>
        <v>1</v>
      </c>
      <c r="I313" s="67">
        <f>G313/G$729</f>
        <v>0.0012808875707178737</v>
      </c>
    </row>
    <row r="314" spans="2:9" ht="12.75">
      <c r="B314" t="s">
        <v>675</v>
      </c>
      <c r="F314" s="47"/>
      <c r="G314" s="47"/>
      <c r="I314" s="67"/>
    </row>
    <row r="315" spans="2:9" ht="12.75">
      <c r="B315" t="s">
        <v>676</v>
      </c>
      <c r="F315" s="47">
        <f>88000+903</f>
        <v>88903</v>
      </c>
      <c r="G315" s="47">
        <f>65117.5+902.8</f>
        <v>66020.3</v>
      </c>
      <c r="H315" s="62">
        <f>G315/F315</f>
        <v>0.7426104855854133</v>
      </c>
      <c r="I315" s="67">
        <f>G315/G$729</f>
        <v>0.0020777538497559027</v>
      </c>
    </row>
    <row r="316" spans="2:9" ht="12.75">
      <c r="B316" t="s">
        <v>677</v>
      </c>
      <c r="F316" s="47">
        <v>101500</v>
      </c>
      <c r="G316" s="47">
        <v>101303.85</v>
      </c>
      <c r="H316" s="62">
        <f>G316/F316</f>
        <v>0.9980674876847291</v>
      </c>
      <c r="I316" s="67">
        <f>G316/G$729</f>
        <v>0.0031881779442473677</v>
      </c>
    </row>
    <row r="317" spans="2:9" ht="12.75">
      <c r="B317" t="s">
        <v>678</v>
      </c>
      <c r="F317" s="47">
        <v>85000</v>
      </c>
      <c r="G317" s="47">
        <v>79300</v>
      </c>
      <c r="H317" s="62">
        <f>G317/F317</f>
        <v>0.9329411764705883</v>
      </c>
      <c r="I317" s="67">
        <f>G317/G$729</f>
        <v>0.002495685119359395</v>
      </c>
    </row>
    <row r="318" spans="2:9" ht="12.75">
      <c r="B318" t="s">
        <v>679</v>
      </c>
      <c r="F318" s="47">
        <v>744036</v>
      </c>
      <c r="G318" s="47">
        <v>744036</v>
      </c>
      <c r="H318" s="62">
        <f>G318/F318</f>
        <v>1</v>
      </c>
      <c r="I318" s="67">
        <f>G318/G$729</f>
        <v>0.023415883650286087</v>
      </c>
    </row>
    <row r="319" spans="2:9" ht="12.75">
      <c r="B319" t="s">
        <v>680</v>
      </c>
      <c r="F319" s="47">
        <v>51964</v>
      </c>
      <c r="G319" s="47">
        <v>47619.92</v>
      </c>
      <c r="H319" s="62">
        <f>G319/F319</f>
        <v>0.9164021245477638</v>
      </c>
      <c r="I319" s="67">
        <f>G319/G$729</f>
        <v>0.0014986674114638692</v>
      </c>
    </row>
    <row r="320" ht="12.75">
      <c r="B320" t="s">
        <v>681</v>
      </c>
    </row>
    <row r="321" spans="2:9" ht="12.75">
      <c r="B321" t="s">
        <v>488</v>
      </c>
      <c r="F321" s="47"/>
      <c r="G321" s="47"/>
      <c r="I321" s="67"/>
    </row>
    <row r="322" spans="2:9" ht="12.75">
      <c r="B322" t="s">
        <v>495</v>
      </c>
      <c r="F322" s="47"/>
      <c r="G322" s="47"/>
      <c r="I322" s="67"/>
    </row>
    <row r="323" spans="2:9" ht="12.75">
      <c r="B323" s="90" t="s">
        <v>496</v>
      </c>
      <c r="F323" s="47"/>
      <c r="G323" s="47"/>
      <c r="I323" s="67"/>
    </row>
    <row r="324" spans="2:9" ht="12.75">
      <c r="B324" s="90" t="s">
        <v>497</v>
      </c>
      <c r="F324" s="47">
        <v>63650</v>
      </c>
      <c r="G324" s="47">
        <v>63649.59</v>
      </c>
      <c r="H324" s="62">
        <f>G324/F324</f>
        <v>0.9999935585231735</v>
      </c>
      <c r="I324" s="67">
        <f>G324/G$729</f>
        <v>0.0020031441944051267</v>
      </c>
    </row>
    <row r="325" spans="2:9" ht="12.75">
      <c r="B325" s="28" t="s">
        <v>682</v>
      </c>
      <c r="F325" s="47">
        <v>10396</v>
      </c>
      <c r="G325" s="47">
        <v>10368.36</v>
      </c>
      <c r="H325" s="62">
        <f>G325/F325</f>
        <v>0.9973412851096576</v>
      </c>
      <c r="I325" s="67">
        <f>G325/G$729</f>
        <v>0.00032630721014074624</v>
      </c>
    </row>
    <row r="326" spans="6:9" ht="12.75">
      <c r="F326" s="47"/>
      <c r="G326" s="47"/>
      <c r="I326" s="67"/>
    </row>
    <row r="327" spans="1:14" s="16" customFormat="1" ht="12.75">
      <c r="A327" s="75" t="s">
        <v>196</v>
      </c>
      <c r="B327" s="16" t="s">
        <v>197</v>
      </c>
      <c r="D327" s="17"/>
      <c r="F327" s="50">
        <f>SUM(F328:F334)</f>
        <v>495750</v>
      </c>
      <c r="G327" s="50">
        <f>SUM(G328:G334)</f>
        <v>148697.27000000002</v>
      </c>
      <c r="H327" s="89">
        <f>G327/F327</f>
        <v>0.2999440645486637</v>
      </c>
      <c r="I327" s="99">
        <f>G327/G$729</f>
        <v>0.0046797170747587165</v>
      </c>
      <c r="K327" s="44"/>
      <c r="L327" s="44"/>
      <c r="M327" s="44"/>
      <c r="N327" s="44"/>
    </row>
    <row r="328" spans="2:9" ht="12.75">
      <c r="B328" t="s">
        <v>198</v>
      </c>
      <c r="F328" s="47">
        <v>420750</v>
      </c>
      <c r="G328" s="47">
        <v>104927.88</v>
      </c>
      <c r="H328" s="62">
        <f>G328/F328</f>
        <v>0.24938295900178253</v>
      </c>
      <c r="I328" s="67">
        <f>G328/G$729</f>
        <v>0.0033022313836308737</v>
      </c>
    </row>
    <row r="329" spans="2:9" ht="12.75">
      <c r="B329" t="s">
        <v>313</v>
      </c>
      <c r="F329" s="47"/>
      <c r="G329" s="47"/>
      <c r="I329" s="67"/>
    </row>
    <row r="330" spans="2:9" ht="12.75">
      <c r="B330" t="s">
        <v>199</v>
      </c>
      <c r="F330" s="47"/>
      <c r="G330" s="47"/>
      <c r="I330" s="67"/>
    </row>
    <row r="331" spans="2:9" ht="12.75">
      <c r="B331" t="s">
        <v>200</v>
      </c>
      <c r="F331" s="47">
        <v>55000</v>
      </c>
      <c r="G331" s="47">
        <v>28469.98</v>
      </c>
      <c r="H331" s="62">
        <f>G331/F331</f>
        <v>0.517636</v>
      </c>
      <c r="I331" s="67">
        <f>G331/G$729</f>
        <v>0.0008959912412920503</v>
      </c>
    </row>
    <row r="332" spans="2:9" ht="12.75">
      <c r="B332" t="s">
        <v>683</v>
      </c>
      <c r="F332" s="47"/>
      <c r="G332" s="47"/>
      <c r="I332" s="67"/>
    </row>
    <row r="333" spans="2:9" ht="12.75">
      <c r="B333" t="s">
        <v>489</v>
      </c>
      <c r="F333" s="47">
        <v>10000</v>
      </c>
      <c r="G333" s="47">
        <v>9638</v>
      </c>
      <c r="H333" s="62">
        <f>G333/F333</f>
        <v>0.9638</v>
      </c>
      <c r="I333" s="67">
        <f>G333/G$729</f>
        <v>0.0003033217298913726</v>
      </c>
    </row>
    <row r="334" spans="2:9" ht="12.75">
      <c r="B334" t="s">
        <v>490</v>
      </c>
      <c r="F334" s="47">
        <v>10000</v>
      </c>
      <c r="G334" s="47">
        <v>5661.41</v>
      </c>
      <c r="H334" s="62">
        <f>G334/F334</f>
        <v>0.566141</v>
      </c>
      <c r="I334" s="67">
        <f>G334/G$729</f>
        <v>0.00017817271994441958</v>
      </c>
    </row>
    <row r="335" spans="6:9" ht="12.75">
      <c r="F335" s="47"/>
      <c r="G335" s="47"/>
      <c r="I335" s="67"/>
    </row>
    <row r="336" spans="1:14" s="2" customFormat="1" ht="12.75">
      <c r="A336" s="75" t="s">
        <v>178</v>
      </c>
      <c r="B336" s="2" t="s">
        <v>201</v>
      </c>
      <c r="D336" s="8"/>
      <c r="F336" s="46">
        <f>SUM(F337:F358)</f>
        <v>4773722</v>
      </c>
      <c r="G336" s="46">
        <f>SUM(G337:G358)</f>
        <v>4375477.72</v>
      </c>
      <c r="H336" s="89">
        <f>G336/F336</f>
        <v>0.9165757285405391</v>
      </c>
      <c r="I336" s="99">
        <f>G336/G$729</f>
        <v>0.1377025805282796</v>
      </c>
      <c r="K336" s="93"/>
      <c r="L336" s="93"/>
      <c r="M336" s="93"/>
      <c r="N336" s="93"/>
    </row>
    <row r="337" spans="2:9" ht="12.75">
      <c r="B337" t="s">
        <v>166</v>
      </c>
      <c r="F337" s="47">
        <v>172588</v>
      </c>
      <c r="G337" s="47">
        <v>142671.39</v>
      </c>
      <c r="H337" s="62">
        <f>G337/F337</f>
        <v>0.8266588059424758</v>
      </c>
      <c r="I337" s="67">
        <f>G337/G$729</f>
        <v>0.00449007395941136</v>
      </c>
    </row>
    <row r="338" spans="2:9" ht="12.75">
      <c r="B338" t="s">
        <v>314</v>
      </c>
      <c r="F338" s="47">
        <v>114700</v>
      </c>
      <c r="G338" s="47">
        <v>113459.22</v>
      </c>
      <c r="H338" s="62">
        <f>G338/F338</f>
        <v>0.9891823888404534</v>
      </c>
      <c r="I338" s="67">
        <f>G338/G$729</f>
        <v>0.003570724930745572</v>
      </c>
    </row>
    <row r="339" spans="2:9" ht="12.75">
      <c r="B339" t="s">
        <v>316</v>
      </c>
      <c r="F339" s="47">
        <f>4318817-165550-55150</f>
        <v>4098117</v>
      </c>
      <c r="G339" s="47">
        <f>3968747.82-105761.63-54615.14</f>
        <v>3808371.05</v>
      </c>
      <c r="H339" s="62">
        <f>G339/F339</f>
        <v>0.9292977848119026</v>
      </c>
      <c r="I339" s="67">
        <f>G339/G$729</f>
        <v>0.11985491750925743</v>
      </c>
    </row>
    <row r="340" spans="2:9" ht="12.75">
      <c r="B340" t="s">
        <v>315</v>
      </c>
      <c r="F340" s="47">
        <v>600</v>
      </c>
      <c r="G340" s="47">
        <v>222.95</v>
      </c>
      <c r="H340" s="62">
        <f>G340/F340</f>
        <v>0.3715833333333333</v>
      </c>
      <c r="I340" s="67">
        <f>G340/G$729</f>
        <v>7.016557343772725E-06</v>
      </c>
    </row>
    <row r="341" spans="2:9" ht="12.75">
      <c r="B341" t="s">
        <v>411</v>
      </c>
      <c r="F341" s="47"/>
      <c r="G341" s="47"/>
      <c r="I341" s="67"/>
    </row>
    <row r="342" spans="2:9" ht="12.75">
      <c r="B342" t="s">
        <v>412</v>
      </c>
      <c r="F342" s="47">
        <v>142330</v>
      </c>
      <c r="G342" s="47">
        <v>127830</v>
      </c>
      <c r="H342" s="62">
        <f aca="true" t="shared" si="6" ref="H342:H349">G342/F342</f>
        <v>0.8981240778472563</v>
      </c>
      <c r="I342" s="67">
        <f>G342/G$729</f>
        <v>0.00402299405810481</v>
      </c>
    </row>
    <row r="343" spans="2:9" ht="12.75">
      <c r="B343" t="s">
        <v>413</v>
      </c>
      <c r="F343" s="47">
        <v>3100</v>
      </c>
      <c r="G343" s="47">
        <v>3000</v>
      </c>
      <c r="H343" s="62">
        <f t="shared" si="6"/>
        <v>0.967741935483871</v>
      </c>
      <c r="I343" s="67">
        <f>G343/G$729</f>
        <v>9.441431725193171E-05</v>
      </c>
    </row>
    <row r="344" spans="2:9" ht="12.75">
      <c r="B344" t="s">
        <v>414</v>
      </c>
      <c r="F344" s="47">
        <v>4000</v>
      </c>
      <c r="G344" s="47">
        <v>3878.4</v>
      </c>
      <c r="H344" s="62">
        <f t="shared" si="6"/>
        <v>0.9696</v>
      </c>
      <c r="I344" s="67">
        <f>G344/G$729</f>
        <v>0.00012205882934329733</v>
      </c>
    </row>
    <row r="345" spans="2:9" ht="12.75">
      <c r="B345" t="s">
        <v>491</v>
      </c>
      <c r="F345" s="47">
        <v>11000</v>
      </c>
      <c r="G345" s="47">
        <v>10877.25</v>
      </c>
      <c r="H345" s="62">
        <f t="shared" si="6"/>
        <v>0.988840909090909</v>
      </c>
      <c r="I345" s="67">
        <f>G345/G$729</f>
        <v>0.0003423227107761914</v>
      </c>
    </row>
    <row r="346" spans="2:9" ht="12.75">
      <c r="B346" t="s">
        <v>415</v>
      </c>
      <c r="F346" s="47">
        <v>1100</v>
      </c>
      <c r="G346" s="47">
        <v>1081.76</v>
      </c>
      <c r="H346" s="62">
        <f t="shared" si="6"/>
        <v>0.9834181818181819</v>
      </c>
      <c r="I346" s="67">
        <f>G346/G$729</f>
        <v>3.404454394348322E-05</v>
      </c>
    </row>
    <row r="347" spans="2:9" ht="12.75">
      <c r="B347" t="s">
        <v>492</v>
      </c>
      <c r="F347" s="47">
        <v>4000</v>
      </c>
      <c r="G347" s="47">
        <v>1920</v>
      </c>
      <c r="H347" s="62">
        <f t="shared" si="6"/>
        <v>0.48</v>
      </c>
      <c r="I347" s="67">
        <f>G347/G$729</f>
        <v>6.04251630412363E-05</v>
      </c>
    </row>
    <row r="348" spans="2:9" ht="12.75">
      <c r="B348" t="s">
        <v>493</v>
      </c>
      <c r="F348" s="47">
        <v>18900</v>
      </c>
      <c r="G348" s="47">
        <v>278.12</v>
      </c>
      <c r="H348" s="62">
        <f t="shared" si="6"/>
        <v>0.014715343915343916</v>
      </c>
      <c r="I348" s="67">
        <f>G348/G$729</f>
        <v>8.75283663803575E-06</v>
      </c>
    </row>
    <row r="349" spans="2:9" ht="12.75">
      <c r="B349" t="s">
        <v>494</v>
      </c>
      <c r="F349" s="47">
        <f>93489+12840+4150</f>
        <v>110479</v>
      </c>
      <c r="G349" s="47">
        <f>86814.02+8547.53+2706.34</f>
        <v>98067.89</v>
      </c>
      <c r="H349" s="62">
        <f t="shared" si="6"/>
        <v>0.8876609129336797</v>
      </c>
      <c r="I349" s="67">
        <f>G349/G$729</f>
        <v>0.0030863376262291807</v>
      </c>
    </row>
    <row r="350" spans="2:9" ht="12.75">
      <c r="B350" t="s">
        <v>498</v>
      </c>
      <c r="F350" s="47"/>
      <c r="G350" s="47"/>
      <c r="I350" s="67"/>
    </row>
    <row r="351" spans="2:9" ht="12.75">
      <c r="B351" t="s">
        <v>499</v>
      </c>
      <c r="F351" s="47"/>
      <c r="G351" s="47"/>
      <c r="I351" s="67"/>
    </row>
    <row r="352" spans="2:9" ht="12.75">
      <c r="B352" t="s">
        <v>500</v>
      </c>
      <c r="F352" s="47">
        <v>2000</v>
      </c>
      <c r="G352" s="47">
        <v>1500</v>
      </c>
      <c r="H352" s="62">
        <f>G352/F352</f>
        <v>0.75</v>
      </c>
      <c r="I352" s="67">
        <f>G352/G$729</f>
        <v>4.7207158625965855E-05</v>
      </c>
    </row>
    <row r="353" spans="2:9" ht="12.75">
      <c r="B353" t="s">
        <v>501</v>
      </c>
      <c r="F353" s="47">
        <v>2500</v>
      </c>
      <c r="G353" s="47">
        <v>633.2</v>
      </c>
      <c r="H353" s="62">
        <f>G353/F353</f>
        <v>0.25328</v>
      </c>
      <c r="I353" s="67">
        <f>G353/G$729</f>
        <v>1.9927715227974388E-05</v>
      </c>
    </row>
    <row r="354" spans="2:9" ht="12.75">
      <c r="B354" t="s">
        <v>502</v>
      </c>
      <c r="F354" s="47">
        <f>65000+10000+3500+3500+200</f>
        <v>82200</v>
      </c>
      <c r="G354" s="47">
        <f>43261.81+7410.86+3109.72+1796.1</f>
        <v>55578.49</v>
      </c>
      <c r="H354" s="62">
        <f>G354/F354</f>
        <v>0.6761373479318734</v>
      </c>
      <c r="I354" s="67">
        <f>G354/G$729</f>
        <v>0.001749135062414438</v>
      </c>
    </row>
    <row r="355" spans="2:9" ht="12.75">
      <c r="B355" t="s">
        <v>503</v>
      </c>
      <c r="F355" s="47">
        <v>732</v>
      </c>
      <c r="G355" s="47">
        <v>732</v>
      </c>
      <c r="H355" s="62">
        <f>G355/F355</f>
        <v>1</v>
      </c>
      <c r="I355" s="67">
        <f>G355/G$729</f>
        <v>2.303709340947134E-05</v>
      </c>
    </row>
    <row r="356" spans="2:9" ht="12.75">
      <c r="B356" t="s">
        <v>684</v>
      </c>
      <c r="F356" s="47">
        <v>4636</v>
      </c>
      <c r="G356" s="47">
        <v>4636</v>
      </c>
      <c r="H356" s="62">
        <f>G356/F356</f>
        <v>1</v>
      </c>
      <c r="I356" s="67">
        <f>G356/G$729</f>
        <v>0.00014590159159331848</v>
      </c>
    </row>
    <row r="357" spans="2:9" ht="12.75">
      <c r="B357" t="s">
        <v>686</v>
      </c>
      <c r="F357" s="47"/>
      <c r="G357" s="47"/>
      <c r="I357" s="67"/>
    </row>
    <row r="358" spans="2:9" ht="12.75">
      <c r="B358" t="s">
        <v>685</v>
      </c>
      <c r="F358" s="47">
        <v>740</v>
      </c>
      <c r="G358" s="47">
        <v>740</v>
      </c>
      <c r="H358" s="62">
        <f>G358/F358</f>
        <v>1</v>
      </c>
      <c r="I358" s="67">
        <f>G358/G$729</f>
        <v>2.3288864922143158E-05</v>
      </c>
    </row>
    <row r="359" spans="6:9" ht="12.75">
      <c r="F359" s="47"/>
      <c r="G359" s="47"/>
      <c r="I359" s="67"/>
    </row>
    <row r="360" spans="1:14" s="2" customFormat="1" ht="12.75">
      <c r="A360" s="75" t="s">
        <v>180</v>
      </c>
      <c r="B360" s="2" t="s">
        <v>202</v>
      </c>
      <c r="D360" s="8"/>
      <c r="F360" s="46">
        <f>SUM(F361:F362)</f>
        <v>10124</v>
      </c>
      <c r="G360" s="46">
        <f>SUM(G361:G362)</f>
        <v>10124</v>
      </c>
      <c r="H360" s="89">
        <f>G360/F360</f>
        <v>1</v>
      </c>
      <c r="I360" s="99">
        <f>G360/G$729</f>
        <v>0.00031861684928618557</v>
      </c>
      <c r="K360" s="93"/>
      <c r="L360" s="93"/>
      <c r="M360" s="93"/>
      <c r="N360" s="93"/>
    </row>
    <row r="361" spans="2:9" ht="12.75">
      <c r="B361" t="s">
        <v>306</v>
      </c>
      <c r="F361" s="47">
        <v>1104</v>
      </c>
      <c r="G361" s="47">
        <v>1104</v>
      </c>
      <c r="H361" s="62">
        <f>G361/F361</f>
        <v>1</v>
      </c>
      <c r="I361" s="67">
        <f>G361/G$729</f>
        <v>3.474446874871087E-05</v>
      </c>
    </row>
    <row r="362" spans="2:9" ht="12.75">
      <c r="B362" t="s">
        <v>687</v>
      </c>
      <c r="F362" s="47">
        <v>9020</v>
      </c>
      <c r="G362" s="47">
        <v>9020</v>
      </c>
      <c r="H362" s="62">
        <f>G362/F362</f>
        <v>1</v>
      </c>
      <c r="I362" s="67">
        <f>G362/G$729</f>
        <v>0.0002838723805374747</v>
      </c>
    </row>
    <row r="363" spans="6:9" ht="12.75">
      <c r="F363" s="47"/>
      <c r="G363" s="47"/>
      <c r="I363" s="67"/>
    </row>
    <row r="364" spans="1:14" s="16" customFormat="1" ht="12.75">
      <c r="A364" s="75" t="s">
        <v>182</v>
      </c>
      <c r="B364" s="19" t="s">
        <v>203</v>
      </c>
      <c r="D364" s="17"/>
      <c r="F364" s="50">
        <f>SUM(F365:F378)</f>
        <v>618573</v>
      </c>
      <c r="G364" s="50">
        <f>SUM(G365:G378)</f>
        <v>510484.29000000004</v>
      </c>
      <c r="H364" s="89">
        <f>G364/F364</f>
        <v>0.8252611898676471</v>
      </c>
      <c r="I364" s="99">
        <f>G364/G$729</f>
        <v>0.016065675236062373</v>
      </c>
      <c r="K364" s="44"/>
      <c r="L364" s="44"/>
      <c r="M364" s="44"/>
      <c r="N364" s="44"/>
    </row>
    <row r="365" spans="1:14" s="63" customFormat="1" ht="12.75">
      <c r="A365" s="59"/>
      <c r="B365" s="59" t="s">
        <v>717</v>
      </c>
      <c r="C365" s="60"/>
      <c r="D365" s="61"/>
      <c r="E365" s="60"/>
      <c r="F365" s="91"/>
      <c r="G365" s="91"/>
      <c r="H365" s="62"/>
      <c r="I365" s="67"/>
      <c r="K365" s="42"/>
      <c r="L365" s="42"/>
      <c r="M365" s="42"/>
      <c r="N365" s="42"/>
    </row>
    <row r="366" spans="1:14" s="63" customFormat="1" ht="12.75">
      <c r="A366" s="59"/>
      <c r="B366" s="59" t="s">
        <v>688</v>
      </c>
      <c r="C366" s="60"/>
      <c r="D366" s="61"/>
      <c r="E366" s="60"/>
      <c r="F366" s="91">
        <f>50000+290</f>
        <v>50290</v>
      </c>
      <c r="G366" s="91">
        <v>50000</v>
      </c>
      <c r="H366" s="62">
        <f>G366/F366</f>
        <v>0.9942334460131239</v>
      </c>
      <c r="I366" s="67">
        <f>G366/G$729</f>
        <v>0.001573571954198862</v>
      </c>
      <c r="J366" s="42"/>
      <c r="K366" s="42"/>
      <c r="L366" s="42"/>
      <c r="M366" s="42"/>
      <c r="N366" s="42"/>
    </row>
    <row r="367" spans="1:14" s="63" customFormat="1" ht="12.75">
      <c r="A367" s="59"/>
      <c r="B367" s="59" t="s">
        <v>718</v>
      </c>
      <c r="C367" s="60"/>
      <c r="D367" s="61"/>
      <c r="E367" s="60"/>
      <c r="F367" s="91"/>
      <c r="G367" s="91"/>
      <c r="H367" s="62"/>
      <c r="I367" s="67"/>
      <c r="K367" s="42"/>
      <c r="L367" s="42"/>
      <c r="M367" s="42"/>
      <c r="N367" s="42"/>
    </row>
    <row r="368" spans="1:14" s="63" customFormat="1" ht="12.75">
      <c r="A368" s="59"/>
      <c r="B368" s="59" t="s">
        <v>689</v>
      </c>
      <c r="C368" s="60"/>
      <c r="D368" s="61"/>
      <c r="E368" s="60"/>
      <c r="F368" s="91">
        <v>27920</v>
      </c>
      <c r="G368" s="91">
        <v>27920</v>
      </c>
      <c r="H368" s="62">
        <f>G368/F368</f>
        <v>1</v>
      </c>
      <c r="I368" s="67">
        <f>G368/G$729</f>
        <v>0.0008786825792246445</v>
      </c>
      <c r="K368" s="42"/>
      <c r="L368" s="42"/>
      <c r="M368" s="42"/>
      <c r="N368" s="42"/>
    </row>
    <row r="369" spans="1:14" s="63" customFormat="1" ht="12.75">
      <c r="A369" s="59"/>
      <c r="B369" s="59" t="s">
        <v>690</v>
      </c>
      <c r="C369" s="60"/>
      <c r="D369" s="61"/>
      <c r="E369" s="60"/>
      <c r="F369" s="91"/>
      <c r="G369" s="91"/>
      <c r="H369" s="62"/>
      <c r="I369" s="67"/>
      <c r="K369" s="42"/>
      <c r="L369" s="42"/>
      <c r="M369" s="42"/>
      <c r="N369" s="42"/>
    </row>
    <row r="370" spans="1:14" s="63" customFormat="1" ht="12.75">
      <c r="A370" s="59"/>
      <c r="B370" s="59" t="s">
        <v>691</v>
      </c>
      <c r="C370" s="60"/>
      <c r="D370" s="61"/>
      <c r="E370" s="60"/>
      <c r="F370" s="91"/>
      <c r="G370" s="91"/>
      <c r="H370" s="62"/>
      <c r="I370" s="67"/>
      <c r="K370" s="42"/>
      <c r="L370" s="42"/>
      <c r="M370" s="42"/>
      <c r="N370" s="42"/>
    </row>
    <row r="371" spans="1:14" s="63" customFormat="1" ht="12.75">
      <c r="A371" s="59"/>
      <c r="B371" s="59" t="s">
        <v>692</v>
      </c>
      <c r="C371" s="60"/>
      <c r="D371" s="61"/>
      <c r="E371" s="60"/>
      <c r="F371" s="91">
        <v>22080</v>
      </c>
      <c r="G371" s="91">
        <v>22080</v>
      </c>
      <c r="H371" s="62">
        <f>G371/F371</f>
        <v>1</v>
      </c>
      <c r="I371" s="67">
        <f>G371/G$729</f>
        <v>0.0006948893749742174</v>
      </c>
      <c r="K371" s="42"/>
      <c r="L371" s="42"/>
      <c r="M371" s="42"/>
      <c r="N371" s="42"/>
    </row>
    <row r="372" spans="2:9" ht="12.75">
      <c r="B372" t="s">
        <v>693</v>
      </c>
      <c r="F372" s="47">
        <f>135580-24342-4960</f>
        <v>106278</v>
      </c>
      <c r="G372" s="47">
        <f>93602.28-24324.52-4960</f>
        <v>64317.759999999995</v>
      </c>
      <c r="H372" s="62">
        <f>G372/F372</f>
        <v>0.6051841397090648</v>
      </c>
      <c r="I372" s="67">
        <f>G372/G$729</f>
        <v>0.0020241724658578678</v>
      </c>
    </row>
    <row r="373" spans="2:9" ht="12.75">
      <c r="B373" t="s">
        <v>694</v>
      </c>
      <c r="F373" s="47">
        <f>65598-62098</f>
        <v>3500</v>
      </c>
      <c r="G373" s="47">
        <f>64986.02-62098</f>
        <v>2888.019999999997</v>
      </c>
      <c r="H373" s="62">
        <f>G373/F373</f>
        <v>0.8251485714285706</v>
      </c>
      <c r="I373" s="67">
        <f>G373/G$729</f>
        <v>9.089014550330784E-05</v>
      </c>
    </row>
    <row r="374" spans="2:9" ht="12.75">
      <c r="B374" t="s">
        <v>719</v>
      </c>
      <c r="F374" s="47">
        <v>402505</v>
      </c>
      <c r="G374" s="47">
        <v>339529.51</v>
      </c>
      <c r="H374" s="62">
        <f>G374/F374</f>
        <v>0.8435410988683371</v>
      </c>
      <c r="I374" s="67">
        <f>G374/G$729</f>
        <v>0.01068548229117764</v>
      </c>
    </row>
    <row r="375" spans="2:9" ht="12.75">
      <c r="B375" t="s">
        <v>720</v>
      </c>
      <c r="F375" s="47"/>
      <c r="G375" s="47"/>
      <c r="I375" s="67"/>
    </row>
    <row r="376" spans="2:9" ht="12.75">
      <c r="B376" t="s">
        <v>695</v>
      </c>
      <c r="F376" s="47"/>
      <c r="G376" s="47"/>
      <c r="I376" s="67"/>
    </row>
    <row r="377" spans="2:9" ht="12.75">
      <c r="B377" t="s">
        <v>696</v>
      </c>
      <c r="F377" s="47">
        <v>3000</v>
      </c>
      <c r="G377" s="47">
        <v>3000</v>
      </c>
      <c r="H377" s="62">
        <f>G377/F377</f>
        <v>1</v>
      </c>
      <c r="I377" s="67">
        <f>G377/G$729</f>
        <v>9.441431725193171E-05</v>
      </c>
    </row>
    <row r="378" spans="2:9" ht="12.75">
      <c r="B378" t="s">
        <v>721</v>
      </c>
      <c r="F378" s="47">
        <v>3000</v>
      </c>
      <c r="G378" s="47">
        <v>749</v>
      </c>
      <c r="H378" s="62">
        <f>G378/F378</f>
        <v>0.24966666666666668</v>
      </c>
      <c r="I378" s="67">
        <f>G378/G$729</f>
        <v>2.3572107873898952E-05</v>
      </c>
    </row>
    <row r="379" spans="6:9" ht="12.75">
      <c r="F379" s="47"/>
      <c r="G379" s="47"/>
      <c r="I379" s="67"/>
    </row>
    <row r="380" spans="1:14" s="16" customFormat="1" ht="12.75">
      <c r="A380" s="75" t="s">
        <v>204</v>
      </c>
      <c r="B380" s="16" t="s">
        <v>205</v>
      </c>
      <c r="D380" s="17"/>
      <c r="F380" s="50">
        <f>SUM(F381:F382)</f>
        <v>251968.34</v>
      </c>
      <c r="G380" s="50">
        <f>SUM(G381:G382)</f>
        <v>215294.05</v>
      </c>
      <c r="H380" s="89">
        <f>G380/F380</f>
        <v>0.8544488168632615</v>
      </c>
      <c r="I380" s="99">
        <f>G380/G$729</f>
        <v>0.006775613579717749</v>
      </c>
      <c r="K380" s="44"/>
      <c r="L380" s="44"/>
      <c r="M380" s="44"/>
      <c r="N380" s="44"/>
    </row>
    <row r="381" spans="2:9" ht="12.75">
      <c r="B381" t="s">
        <v>258</v>
      </c>
      <c r="F381" s="47">
        <v>0</v>
      </c>
      <c r="G381" s="47">
        <v>0</v>
      </c>
      <c r="I381" s="67">
        <f>G381/G$729</f>
        <v>0</v>
      </c>
    </row>
    <row r="382" spans="2:9" ht="12.75">
      <c r="B382" t="s">
        <v>206</v>
      </c>
      <c r="F382" s="47">
        <v>251968.34</v>
      </c>
      <c r="G382" s="47">
        <v>215294.05</v>
      </c>
      <c r="H382" s="62">
        <f>G382/F382</f>
        <v>0.8544488168632615</v>
      </c>
      <c r="I382" s="67">
        <f>G382/G$729</f>
        <v>0.006775613579717749</v>
      </c>
    </row>
    <row r="383" spans="6:9" ht="12.75">
      <c r="F383" s="47"/>
      <c r="G383" s="47"/>
      <c r="I383" s="67"/>
    </row>
    <row r="384" spans="1:14" s="16" customFormat="1" ht="12.75">
      <c r="A384" s="75" t="s">
        <v>187</v>
      </c>
      <c r="B384" s="16" t="s">
        <v>207</v>
      </c>
      <c r="D384" s="17"/>
      <c r="F384" s="50">
        <f>SUM(F385:F386)</f>
        <v>119277.44</v>
      </c>
      <c r="G384" s="50">
        <f>SUM(G385:G386)</f>
        <v>11899</v>
      </c>
      <c r="H384" s="89">
        <f>G384/F384</f>
        <v>0.09975901561938284</v>
      </c>
      <c r="I384" s="99">
        <f>G384/G$729</f>
        <v>0.00037447865366024515</v>
      </c>
      <c r="K384" s="44"/>
      <c r="L384" s="44"/>
      <c r="M384" s="44"/>
      <c r="N384" s="44"/>
    </row>
    <row r="385" spans="1:14" s="63" customFormat="1" ht="12.75">
      <c r="A385" s="59"/>
      <c r="B385" s="60" t="s">
        <v>504</v>
      </c>
      <c r="C385" s="60"/>
      <c r="D385" s="61"/>
      <c r="E385" s="60"/>
      <c r="F385" s="91">
        <v>11899</v>
      </c>
      <c r="G385" s="91">
        <v>11899</v>
      </c>
      <c r="H385" s="62">
        <f>G385/F385</f>
        <v>1</v>
      </c>
      <c r="I385" s="67">
        <f>G385/G$729</f>
        <v>0.00037447865366024515</v>
      </c>
      <c r="K385" s="42"/>
      <c r="L385" s="42"/>
      <c r="M385" s="42"/>
      <c r="N385" s="42"/>
    </row>
    <row r="386" spans="2:9" ht="12.75">
      <c r="B386" t="s">
        <v>505</v>
      </c>
      <c r="F386" s="47">
        <v>107378.44</v>
      </c>
      <c r="G386" s="47">
        <v>0</v>
      </c>
      <c r="H386" s="62">
        <f>G386/F386</f>
        <v>0</v>
      </c>
      <c r="I386" s="67">
        <f>G386/G$729</f>
        <v>0</v>
      </c>
    </row>
    <row r="387" spans="6:9" ht="12.75">
      <c r="F387" s="47"/>
      <c r="G387" s="47"/>
      <c r="I387" s="67"/>
    </row>
    <row r="388" spans="1:14" s="2" customFormat="1" ht="12.75">
      <c r="A388" s="75" t="s">
        <v>188</v>
      </c>
      <c r="B388" s="2" t="s">
        <v>145</v>
      </c>
      <c r="D388" s="8"/>
      <c r="F388" s="46">
        <f>F389+F421+F455+F479+F512+F513+F514+F516+F522+F523+F453+F517+F519+F520</f>
        <v>6996554.070000001</v>
      </c>
      <c r="G388" s="46">
        <f>G389+G421+G455+G479+G512+G513+G514+G516+G522+G523+G453+G517+G519+G520</f>
        <v>6635529.319999999</v>
      </c>
      <c r="H388" s="89">
        <f>G388/F388</f>
        <v>0.9483996341073082</v>
      </c>
      <c r="I388" s="99">
        <f>G388/G$729</f>
        <v>0.20882965678432489</v>
      </c>
      <c r="K388" s="93"/>
      <c r="L388" s="93"/>
      <c r="M388" s="93"/>
      <c r="N388" s="93"/>
    </row>
    <row r="389" spans="1:14" s="26" customFormat="1" ht="12.75">
      <c r="A389" s="76"/>
      <c r="B389" s="26" t="s">
        <v>160</v>
      </c>
      <c r="D389" s="27"/>
      <c r="F389" s="48">
        <f>8100+14300+1398225+95900+248150+35135+6000+74693.5+1500+92400+30100+833.99+159100+45000+1600+104600+10000+2170+851.97+60519.08+3200+75820+6.5+3000+3000+24500</f>
        <v>2498705.0400000005</v>
      </c>
      <c r="G389" s="48">
        <f>5855.68+14208+1360792.74+95871.01+233987.48+33778.67+5426+67580.23+81.3+75167.17+21938.11+833.99+118741.93+42239.99+1030+101057.3+7431.43+1913.17+850.66+48130.87+2784+75820+6.5+2644+907.33+16493.23</f>
        <v>2335570.79</v>
      </c>
      <c r="H389" s="68">
        <f>G389/F389</f>
        <v>0.9347124821103333</v>
      </c>
      <c r="I389" s="69">
        <f>G389/G$729</f>
        <v>0.07350377384380159</v>
      </c>
      <c r="K389" s="94"/>
      <c r="L389" s="94"/>
      <c r="M389" s="94"/>
      <c r="N389" s="94"/>
    </row>
    <row r="390" spans="1:14" s="6" customFormat="1" ht="12.75">
      <c r="A390" s="59"/>
      <c r="B390" s="6" t="s">
        <v>259</v>
      </c>
      <c r="D390" s="9"/>
      <c r="F390" s="51"/>
      <c r="G390" s="51"/>
      <c r="H390" s="62"/>
      <c r="I390" s="67"/>
      <c r="K390" s="93"/>
      <c r="L390" s="45"/>
      <c r="M390" s="45"/>
      <c r="N390" s="45"/>
    </row>
    <row r="391" spans="1:14" s="6" customFormat="1" ht="12.75">
      <c r="A391" s="59"/>
      <c r="B391" s="6" t="s">
        <v>260</v>
      </c>
      <c r="D391" s="9"/>
      <c r="F391" s="51"/>
      <c r="G391" s="51"/>
      <c r="H391" s="62"/>
      <c r="I391" s="67"/>
      <c r="K391" s="45"/>
      <c r="L391" s="45"/>
      <c r="M391" s="45"/>
      <c r="N391" s="45"/>
    </row>
    <row r="392" spans="1:14" s="6" customFormat="1" ht="12.75">
      <c r="A392" s="59"/>
      <c r="B392" s="6" t="s">
        <v>697</v>
      </c>
      <c r="D392" s="9"/>
      <c r="F392" s="51">
        <f>1408575-63620</f>
        <v>1344955</v>
      </c>
      <c r="G392" s="51">
        <f>1363028.31-63620</f>
        <v>1299408.31</v>
      </c>
      <c r="H392" s="62">
        <f>G392/F392</f>
        <v>0.9661351569383363</v>
      </c>
      <c r="I392" s="67">
        <f>G392/G$729</f>
        <v>0.040894249473378816</v>
      </c>
      <c r="K392" s="45"/>
      <c r="L392" s="45"/>
      <c r="M392" s="45"/>
      <c r="N392" s="45"/>
    </row>
    <row r="393" spans="1:14" s="6" customFormat="1" ht="12.75">
      <c r="A393" s="59"/>
      <c r="B393" s="6" t="s">
        <v>261</v>
      </c>
      <c r="D393" s="9"/>
      <c r="F393" s="51"/>
      <c r="G393" s="51"/>
      <c r="H393" s="62"/>
      <c r="I393" s="67"/>
      <c r="K393" s="45"/>
      <c r="L393" s="45"/>
      <c r="M393" s="45"/>
      <c r="N393" s="45"/>
    </row>
    <row r="394" spans="1:14" s="6" customFormat="1" ht="12.75">
      <c r="A394" s="59"/>
      <c r="B394" s="6" t="s">
        <v>698</v>
      </c>
      <c r="D394" s="9"/>
      <c r="F394" s="51">
        <f>353595-9800</f>
        <v>343795</v>
      </c>
      <c r="G394" s="51">
        <f>346219.26-9800</f>
        <v>336419.26</v>
      </c>
      <c r="H394" s="62">
        <f>G394/F394</f>
        <v>0.9785461103273754</v>
      </c>
      <c r="I394" s="67">
        <f>G394/G$729</f>
        <v>0.010587598247766701</v>
      </c>
      <c r="K394" s="45"/>
      <c r="L394" s="45"/>
      <c r="M394" s="45"/>
      <c r="N394" s="45"/>
    </row>
    <row r="395" spans="1:14" s="6" customFormat="1" ht="12.75">
      <c r="A395" s="59"/>
      <c r="B395" s="6" t="s">
        <v>262</v>
      </c>
      <c r="D395" s="9"/>
      <c r="F395" s="51"/>
      <c r="G395" s="51"/>
      <c r="H395" s="62"/>
      <c r="I395" s="67"/>
      <c r="K395" s="45"/>
      <c r="L395" s="45"/>
      <c r="M395" s="45"/>
      <c r="N395" s="45"/>
    </row>
    <row r="396" spans="1:14" s="6" customFormat="1" ht="12.75">
      <c r="A396" s="59"/>
      <c r="B396" s="6" t="s">
        <v>307</v>
      </c>
      <c r="D396" s="9"/>
      <c r="F396" s="51">
        <f>91060-2400</f>
        <v>88660</v>
      </c>
      <c r="G396" s="51">
        <f>91002.33-2400</f>
        <v>88602.33</v>
      </c>
      <c r="H396" s="62">
        <f>G396/F396</f>
        <v>0.999349537559215</v>
      </c>
      <c r="I396" s="67">
        <f>G396/G$729</f>
        <v>0.002788442831293449</v>
      </c>
      <c r="K396" s="45"/>
      <c r="L396" s="45"/>
      <c r="M396" s="45"/>
      <c r="N396" s="45"/>
    </row>
    <row r="397" spans="1:14" s="6" customFormat="1" ht="12.75">
      <c r="A397" s="59"/>
      <c r="B397" s="6" t="s">
        <v>528</v>
      </c>
      <c r="D397" s="9"/>
      <c r="F397" s="51">
        <v>2940</v>
      </c>
      <c r="G397" s="51">
        <v>2940</v>
      </c>
      <c r="H397" s="62">
        <f>G397/F397</f>
        <v>1</v>
      </c>
      <c r="I397" s="67">
        <f>G397/G$729</f>
        <v>9.252603090689308E-05</v>
      </c>
      <c r="K397" s="45"/>
      <c r="L397" s="45"/>
      <c r="M397" s="45"/>
      <c r="N397" s="45"/>
    </row>
    <row r="398" spans="1:14" s="6" customFormat="1" ht="12.75">
      <c r="A398" s="59"/>
      <c r="B398" s="6" t="s">
        <v>308</v>
      </c>
      <c r="D398" s="9"/>
      <c r="F398" s="51">
        <v>75820</v>
      </c>
      <c r="G398" s="51">
        <v>75820</v>
      </c>
      <c r="H398" s="62">
        <f>G398/F398</f>
        <v>1</v>
      </c>
      <c r="I398" s="67">
        <f>G398/G$729</f>
        <v>0.0023861645113471544</v>
      </c>
      <c r="K398" s="45"/>
      <c r="L398" s="45"/>
      <c r="M398" s="45"/>
      <c r="N398" s="45"/>
    </row>
    <row r="399" spans="1:14" s="6" customFormat="1" ht="12.75">
      <c r="A399" s="59"/>
      <c r="B399" s="6" t="s">
        <v>699</v>
      </c>
      <c r="D399" s="9"/>
      <c r="F399" s="51">
        <f>1500+833.99+60519.08</f>
        <v>62853.07</v>
      </c>
      <c r="G399" s="51">
        <f>81.3+833.99+48130.87</f>
        <v>49046.16</v>
      </c>
      <c r="H399" s="62">
        <f>G399/F399</f>
        <v>0.7803303800434888</v>
      </c>
      <c r="I399" s="67">
        <f>G399/G$729</f>
        <v>0.001543553236743001</v>
      </c>
      <c r="K399" s="45"/>
      <c r="L399" s="45"/>
      <c r="M399" s="45"/>
      <c r="N399" s="45"/>
    </row>
    <row r="400" spans="1:14" s="63" customFormat="1" ht="12.75">
      <c r="A400" s="59"/>
      <c r="B400" s="60" t="s">
        <v>700</v>
      </c>
      <c r="C400" s="60"/>
      <c r="D400" s="61"/>
      <c r="E400" s="60"/>
      <c r="F400" s="91"/>
      <c r="G400" s="91"/>
      <c r="H400" s="62"/>
      <c r="I400" s="67"/>
      <c r="K400" s="42"/>
      <c r="L400" s="42"/>
      <c r="M400" s="42"/>
      <c r="N400" s="42"/>
    </row>
    <row r="401" spans="1:14" s="63" customFormat="1" ht="12.75">
      <c r="A401" s="59"/>
      <c r="B401" s="60" t="s">
        <v>701</v>
      </c>
      <c r="C401" s="60"/>
      <c r="D401" s="61"/>
      <c r="E401" s="60"/>
      <c r="F401" s="91">
        <v>6000</v>
      </c>
      <c r="G401" s="91">
        <v>5426</v>
      </c>
      <c r="H401" s="62">
        <f>G401/F401</f>
        <v>0.9043333333333333</v>
      </c>
      <c r="I401" s="67">
        <f>G401/G$729</f>
        <v>0.0001707640284696605</v>
      </c>
      <c r="K401" s="42"/>
      <c r="L401" s="42"/>
      <c r="M401" s="42"/>
      <c r="N401" s="42"/>
    </row>
    <row r="402" spans="1:14" s="6" customFormat="1" ht="12.75">
      <c r="A402" s="59"/>
      <c r="B402" s="6" t="s">
        <v>702</v>
      </c>
      <c r="D402" s="9"/>
      <c r="E402" s="71" t="s">
        <v>263</v>
      </c>
      <c r="F402" s="51">
        <f>74693.5+92400+30100+159100+45000+1600+104600+10000+3000+24500</f>
        <v>544993.5</v>
      </c>
      <c r="G402" s="51">
        <f>67580.23+75167.17+21938.11+118741.93+42239.99+1030+101057.3+7431.43+907.33+16493.23</f>
        <v>452586.72</v>
      </c>
      <c r="H402" s="62">
        <f>G402/F402</f>
        <v>0.8304442530048523</v>
      </c>
      <c r="I402" s="67">
        <f>G402/G$729</f>
        <v>0.014243555388697062</v>
      </c>
      <c r="K402" s="45"/>
      <c r="L402" s="45"/>
      <c r="M402" s="45"/>
      <c r="N402" s="45"/>
    </row>
    <row r="403" spans="1:14" s="6" customFormat="1" ht="12.75">
      <c r="A403" s="59"/>
      <c r="B403" s="6" t="s">
        <v>347</v>
      </c>
      <c r="D403" s="9"/>
      <c r="E403" s="9"/>
      <c r="F403" s="51"/>
      <c r="G403" s="51"/>
      <c r="H403" s="62"/>
      <c r="I403" s="67"/>
      <c r="K403" s="45"/>
      <c r="L403" s="45"/>
      <c r="M403" s="45"/>
      <c r="N403" s="45"/>
    </row>
    <row r="404" spans="1:14" s="6" customFormat="1" ht="12.75">
      <c r="A404" s="59"/>
      <c r="B404" s="6" t="s">
        <v>416</v>
      </c>
      <c r="D404" s="9"/>
      <c r="E404" s="70">
        <f>84576.77+1616.09</f>
        <v>86192.86</v>
      </c>
      <c r="F404" s="51"/>
      <c r="G404" s="51"/>
      <c r="H404" s="62"/>
      <c r="I404" s="67"/>
      <c r="K404" s="45"/>
      <c r="L404" s="45"/>
      <c r="M404" s="45"/>
      <c r="N404" s="45"/>
    </row>
    <row r="405" spans="1:14" s="6" customFormat="1" ht="12.75">
      <c r="A405" s="59"/>
      <c r="B405" s="6" t="s">
        <v>506</v>
      </c>
      <c r="D405" s="9"/>
      <c r="E405" s="70">
        <v>7530.27</v>
      </c>
      <c r="F405" s="51"/>
      <c r="G405" s="51"/>
      <c r="H405" s="62"/>
      <c r="I405" s="67"/>
      <c r="K405" s="45"/>
      <c r="L405" s="45"/>
      <c r="M405" s="45"/>
      <c r="N405" s="45"/>
    </row>
    <row r="406" spans="1:14" s="6" customFormat="1" ht="12.75">
      <c r="A406" s="59"/>
      <c r="B406" s="6" t="s">
        <v>267</v>
      </c>
      <c r="D406" s="9"/>
      <c r="E406" s="70">
        <f>21824.76+2445.6</f>
        <v>24270.359999999997</v>
      </c>
      <c r="F406" s="51"/>
      <c r="G406" s="51"/>
      <c r="H406" s="62"/>
      <c r="I406" s="67"/>
      <c r="K406" s="45"/>
      <c r="L406" s="45"/>
      <c r="M406" s="45"/>
      <c r="N406" s="45"/>
    </row>
    <row r="407" spans="1:14" s="6" customFormat="1" ht="12.75">
      <c r="A407" s="59"/>
      <c r="B407" s="6" t="s">
        <v>268</v>
      </c>
      <c r="D407" s="9"/>
      <c r="E407" s="70">
        <f>7177.71+1101</f>
        <v>8278.71</v>
      </c>
      <c r="F407" s="51"/>
      <c r="G407" s="51"/>
      <c r="H407" s="62"/>
      <c r="I407" s="67"/>
      <c r="K407" s="45"/>
      <c r="L407" s="45"/>
      <c r="M407" s="45"/>
      <c r="N407" s="45"/>
    </row>
    <row r="408" spans="1:14" s="6" customFormat="1" ht="12.75">
      <c r="A408" s="59"/>
      <c r="B408" s="6" t="s">
        <v>269</v>
      </c>
      <c r="D408" s="9"/>
      <c r="E408" s="70">
        <f>1595.97+40644.02</f>
        <v>42239.99</v>
      </c>
      <c r="F408" s="51"/>
      <c r="G408" s="51"/>
      <c r="H408" s="62"/>
      <c r="I408" s="67"/>
      <c r="K408" s="45"/>
      <c r="L408" s="45"/>
      <c r="M408" s="45"/>
      <c r="N408" s="45"/>
    </row>
    <row r="409" spans="1:14" s="6" customFormat="1" ht="12.75">
      <c r="A409" s="59"/>
      <c r="B409" s="6" t="s">
        <v>266</v>
      </c>
      <c r="D409" s="9"/>
      <c r="E409" s="70">
        <v>75167.17</v>
      </c>
      <c r="F409" s="51"/>
      <c r="G409" s="51"/>
      <c r="H409" s="62"/>
      <c r="I409" s="67"/>
      <c r="K409" s="45"/>
      <c r="L409" s="45"/>
      <c r="M409" s="45"/>
      <c r="N409" s="45"/>
    </row>
    <row r="410" spans="1:14" s="6" customFormat="1" ht="12.75">
      <c r="A410" s="59"/>
      <c r="B410" s="6" t="s">
        <v>300</v>
      </c>
      <c r="D410" s="9"/>
      <c r="E410" s="70">
        <f>2478.61+4990.48+1304.1+981.69</f>
        <v>9754.880000000001</v>
      </c>
      <c r="F410" s="51"/>
      <c r="G410" s="51"/>
      <c r="H410" s="62"/>
      <c r="I410" s="67"/>
      <c r="K410" s="45"/>
      <c r="L410" s="45"/>
      <c r="M410" s="45"/>
      <c r="N410" s="45"/>
    </row>
    <row r="411" spans="1:14" s="6" customFormat="1" ht="12.75">
      <c r="A411" s="59"/>
      <c r="B411" s="6" t="s">
        <v>507</v>
      </c>
      <c r="D411" s="9"/>
      <c r="E411" s="70">
        <f>634.88+4237.61</f>
        <v>4872.49</v>
      </c>
      <c r="F411" s="51"/>
      <c r="G411" s="51"/>
      <c r="H411" s="62"/>
      <c r="I411" s="67"/>
      <c r="K411" s="45"/>
      <c r="L411" s="45"/>
      <c r="M411" s="45"/>
      <c r="N411" s="45"/>
    </row>
    <row r="412" spans="1:14" s="6" customFormat="1" ht="12.75">
      <c r="A412" s="59"/>
      <c r="B412" s="6" t="s">
        <v>508</v>
      </c>
      <c r="D412" s="9"/>
      <c r="E412" s="70">
        <v>6540.43</v>
      </c>
      <c r="F412" s="51"/>
      <c r="G412" s="51"/>
      <c r="H412" s="62"/>
      <c r="I412" s="67"/>
      <c r="K412" s="45"/>
      <c r="L412" s="45"/>
      <c r="M412" s="45"/>
      <c r="N412" s="45"/>
    </row>
    <row r="413" spans="1:14" s="6" customFormat="1" ht="12.75">
      <c r="A413" s="59"/>
      <c r="B413" s="6" t="s">
        <v>509</v>
      </c>
      <c r="D413" s="9"/>
      <c r="E413" s="70">
        <f>2798.03+17065.62+59000</f>
        <v>78863.65</v>
      </c>
      <c r="F413" s="51"/>
      <c r="G413" s="51"/>
      <c r="H413" s="62"/>
      <c r="I413" s="67"/>
      <c r="K413" s="45"/>
      <c r="L413" s="45"/>
      <c r="M413" s="45"/>
      <c r="N413" s="45"/>
    </row>
    <row r="414" spans="1:14" s="6" customFormat="1" ht="12.75">
      <c r="A414" s="59"/>
      <c r="B414" s="6" t="s">
        <v>510</v>
      </c>
      <c r="D414" s="9"/>
      <c r="E414" s="70">
        <v>8283.8</v>
      </c>
      <c r="F414" s="51"/>
      <c r="G414" s="51"/>
      <c r="H414" s="62"/>
      <c r="I414" s="67"/>
      <c r="K414" s="45"/>
      <c r="L414" s="45"/>
      <c r="M414" s="45"/>
      <c r="N414" s="45"/>
    </row>
    <row r="415" spans="1:14" s="6" customFormat="1" ht="12.75">
      <c r="A415" s="59"/>
      <c r="B415" s="6" t="s">
        <v>511</v>
      </c>
      <c r="D415" s="9"/>
      <c r="E415" s="70">
        <v>7431.43</v>
      </c>
      <c r="F415" s="51"/>
      <c r="G415" s="51"/>
      <c r="H415" s="62"/>
      <c r="I415" s="67"/>
      <c r="K415" s="45"/>
      <c r="L415" s="45"/>
      <c r="M415" s="45"/>
      <c r="N415" s="45"/>
    </row>
    <row r="416" spans="1:14" s="6" customFormat="1" ht="12.75">
      <c r="A416" s="59"/>
      <c r="B416" s="6" t="s">
        <v>512</v>
      </c>
      <c r="D416" s="9"/>
      <c r="E416" s="70">
        <v>7960</v>
      </c>
      <c r="F416" s="51"/>
      <c r="G416" s="51"/>
      <c r="H416" s="62"/>
      <c r="I416" s="67"/>
      <c r="K416" s="45"/>
      <c r="L416" s="45"/>
      <c r="M416" s="45"/>
      <c r="N416" s="45"/>
    </row>
    <row r="417" spans="1:14" s="6" customFormat="1" ht="12.75">
      <c r="A417" s="59"/>
      <c r="B417" s="6" t="s">
        <v>513</v>
      </c>
      <c r="D417" s="9"/>
      <c r="E417" s="70">
        <v>1674.02</v>
      </c>
      <c r="F417" s="51"/>
      <c r="G417" s="51"/>
      <c r="H417" s="62"/>
      <c r="I417" s="67"/>
      <c r="K417" s="45"/>
      <c r="L417" s="45"/>
      <c r="M417" s="45"/>
      <c r="N417" s="45"/>
    </row>
    <row r="418" spans="1:14" s="6" customFormat="1" ht="12.75">
      <c r="A418" s="59"/>
      <c r="B418" s="6" t="s">
        <v>309</v>
      </c>
      <c r="D418" s="9"/>
      <c r="E418" s="70">
        <v>2805.33</v>
      </c>
      <c r="F418" s="51"/>
      <c r="G418" s="51"/>
      <c r="H418" s="62"/>
      <c r="I418" s="67"/>
      <c r="K418" s="45"/>
      <c r="L418" s="45"/>
      <c r="M418" s="45"/>
      <c r="N418" s="45"/>
    </row>
    <row r="419" spans="1:14" s="6" customFormat="1" ht="12.75">
      <c r="A419" s="59"/>
      <c r="B419" s="6" t="s">
        <v>1</v>
      </c>
      <c r="D419" s="9"/>
      <c r="E419" s="9"/>
      <c r="F419" s="51">
        <v>14300</v>
      </c>
      <c r="G419" s="51">
        <v>14208</v>
      </c>
      <c r="H419" s="68">
        <f>G419/F419</f>
        <v>0.9935664335664336</v>
      </c>
      <c r="I419" s="69">
        <f>G419/G$729</f>
        <v>0.0004471462065051486</v>
      </c>
      <c r="K419" s="45"/>
      <c r="L419" s="45"/>
      <c r="M419" s="45"/>
      <c r="N419" s="45"/>
    </row>
    <row r="420" spans="1:14" s="6" customFormat="1" ht="12.75">
      <c r="A420" s="59"/>
      <c r="D420" s="9"/>
      <c r="E420" s="9"/>
      <c r="F420" s="51"/>
      <c r="G420" s="51"/>
      <c r="H420" s="68"/>
      <c r="I420" s="69"/>
      <c r="K420" s="45"/>
      <c r="L420" s="45"/>
      <c r="M420" s="45"/>
      <c r="N420" s="45"/>
    </row>
    <row r="421" spans="1:14" s="26" customFormat="1" ht="12.75">
      <c r="A421" s="76"/>
      <c r="B421" s="26" t="s">
        <v>271</v>
      </c>
      <c r="D421" s="27"/>
      <c r="F421" s="48">
        <f>33366+1868+465223+32800+91912+12730+14300+62372+28400+4200+9000+12650+1850+32450+1000+2000+2350+1865+26100+1750+1600</f>
        <v>839786</v>
      </c>
      <c r="G421" s="48">
        <f>29240.03+1868+426313.32+30619.53+84125.53+12116.59+12798.45+57814.31+24577.97+4073.3+8689.17+11656.45+1191+27100.01+831+1804.12+1966.36+1865+26100+1741.61+1527.59</f>
        <v>768019.34</v>
      </c>
      <c r="H421" s="68">
        <f>G421/F421</f>
        <v>0.9145417284879719</v>
      </c>
      <c r="I421" s="69">
        <f>G421/G$729</f>
        <v>0.024170673874126403</v>
      </c>
      <c r="K421" s="94"/>
      <c r="L421" s="94"/>
      <c r="M421" s="94"/>
      <c r="N421" s="94"/>
    </row>
    <row r="422" spans="1:14" s="6" customFormat="1" ht="12.75">
      <c r="A422" s="59"/>
      <c r="B422" s="6" t="s">
        <v>259</v>
      </c>
      <c r="D422" s="9"/>
      <c r="F422" s="51"/>
      <c r="G422" s="51"/>
      <c r="H422" s="62"/>
      <c r="I422" s="67"/>
      <c r="K422" s="45"/>
      <c r="L422" s="45"/>
      <c r="M422" s="45"/>
      <c r="N422" s="45"/>
    </row>
    <row r="423" spans="1:14" s="6" customFormat="1" ht="12.75">
      <c r="A423" s="59"/>
      <c r="B423" s="6" t="s">
        <v>260</v>
      </c>
      <c r="D423" s="9"/>
      <c r="F423" s="51"/>
      <c r="G423" s="51"/>
      <c r="H423" s="62"/>
      <c r="I423" s="67"/>
      <c r="K423" s="45"/>
      <c r="L423" s="45"/>
      <c r="M423" s="45"/>
      <c r="N423" s="45"/>
    </row>
    <row r="424" spans="1:14" s="6" customFormat="1" ht="12.75">
      <c r="A424" s="59"/>
      <c r="B424" s="6" t="s">
        <v>704</v>
      </c>
      <c r="D424" s="9"/>
      <c r="F424" s="51">
        <f>310523+22300+63987+8800</f>
        <v>405610</v>
      </c>
      <c r="G424" s="51">
        <f>287224.09+20620.88+59372.72+8436</f>
        <v>375653.69000000006</v>
      </c>
      <c r="H424" s="62">
        <f aca="true" t="shared" si="7" ref="H424:H429">G424/F424</f>
        <v>0.9261450408027417</v>
      </c>
      <c r="I424" s="67">
        <f>G424/G$729</f>
        <v>0.011822362221506271</v>
      </c>
      <c r="K424" s="45"/>
      <c r="L424" s="45"/>
      <c r="M424" s="45"/>
      <c r="N424" s="45"/>
    </row>
    <row r="425" spans="1:14" s="6" customFormat="1" ht="12.75">
      <c r="A425" s="59"/>
      <c r="B425" s="6" t="s">
        <v>261</v>
      </c>
      <c r="D425" s="9"/>
      <c r="F425" s="51"/>
      <c r="G425" s="51"/>
      <c r="H425" s="62"/>
      <c r="I425" s="67"/>
      <c r="K425" s="45"/>
      <c r="L425" s="45"/>
      <c r="M425" s="45"/>
      <c r="N425" s="45"/>
    </row>
    <row r="426" spans="1:14" s="6" customFormat="1" ht="12.75">
      <c r="A426" s="59"/>
      <c r="B426" s="6" t="s">
        <v>705</v>
      </c>
      <c r="D426" s="9"/>
      <c r="F426" s="51">
        <f>54760+67510+4000+4200+9600+10525+1450+1540+200+2100+14300</f>
        <v>170185</v>
      </c>
      <c r="G426" s="51">
        <f>54488.68+55185.6+3814.99+3932.83+8593.36+10485.39+391.13+1480.08+1432.98+51.45+12798.45</f>
        <v>152654.94000000003</v>
      </c>
      <c r="H426" s="62">
        <f t="shared" si="7"/>
        <v>0.8969940946616919</v>
      </c>
      <c r="I426" s="67">
        <f>G426/G$729</f>
        <v>0.004804270645078201</v>
      </c>
      <c r="K426" s="45"/>
      <c r="L426" s="45"/>
      <c r="M426" s="45"/>
      <c r="N426" s="45"/>
    </row>
    <row r="427" spans="1:14" s="6" customFormat="1" ht="12.75">
      <c r="A427" s="59"/>
      <c r="B427" s="6" t="s">
        <v>262</v>
      </c>
      <c r="D427" s="9"/>
      <c r="F427" s="51"/>
      <c r="G427" s="51"/>
      <c r="H427" s="62"/>
      <c r="I427" s="67"/>
      <c r="K427" s="45"/>
      <c r="L427" s="45"/>
      <c r="M427" s="45"/>
      <c r="N427" s="45"/>
    </row>
    <row r="428" spans="1:14" s="6" customFormat="1" ht="12.75">
      <c r="A428" s="59"/>
      <c r="B428" s="6" t="s">
        <v>706</v>
      </c>
      <c r="D428" s="9"/>
      <c r="F428" s="51">
        <f>32430+2300+5700+740</f>
        <v>41170</v>
      </c>
      <c r="G428" s="51">
        <f>29414.95+2250.83+5282.93+716.08</f>
        <v>37664.79</v>
      </c>
      <c r="H428" s="62">
        <f t="shared" si="7"/>
        <v>0.9148600923002186</v>
      </c>
      <c r="I428" s="67">
        <f>G428/G$729</f>
        <v>0.001185365144095795</v>
      </c>
      <c r="K428" s="45"/>
      <c r="L428" s="45"/>
      <c r="M428" s="45"/>
      <c r="N428" s="45"/>
    </row>
    <row r="429" spans="1:14" s="6" customFormat="1" ht="12.75">
      <c r="A429" s="59"/>
      <c r="B429" s="6" t="s">
        <v>272</v>
      </c>
      <c r="D429" s="9"/>
      <c r="E429" s="9"/>
      <c r="F429" s="51">
        <f>10176+20590</f>
        <v>30766</v>
      </c>
      <c r="G429" s="51">
        <f>9440+18174.28</f>
        <v>27614.28</v>
      </c>
      <c r="H429" s="62">
        <f t="shared" si="7"/>
        <v>0.8975583436260807</v>
      </c>
      <c r="I429" s="67">
        <f>G429/G$729</f>
        <v>0.0008690611308678909</v>
      </c>
      <c r="K429" s="45"/>
      <c r="L429" s="45"/>
      <c r="M429" s="45"/>
      <c r="N429" s="45"/>
    </row>
    <row r="430" spans="1:14" s="6" customFormat="1" ht="12.75">
      <c r="A430" s="59"/>
      <c r="B430" s="6" t="s">
        <v>709</v>
      </c>
      <c r="D430" s="9"/>
      <c r="E430" s="71" t="s">
        <v>263</v>
      </c>
      <c r="F430" s="51">
        <f>62372+28400+4200+9000+12650+1850+32450+1000+2000+1750+1600</f>
        <v>157272</v>
      </c>
      <c r="G430" s="51">
        <f>57814.31+24577.97+4073.3+8689.17+11656.45+1191+27100.01+1804.12+1741.61+1527.59</f>
        <v>140175.52999999997</v>
      </c>
      <c r="H430" s="62">
        <f>G430/F430</f>
        <v>0.8912936186988146</v>
      </c>
      <c r="I430" s="67">
        <f>G430/G$729</f>
        <v>0.004411525653459223</v>
      </c>
      <c r="K430" s="45"/>
      <c r="L430" s="45"/>
      <c r="M430" s="45"/>
      <c r="N430" s="45"/>
    </row>
    <row r="431" spans="1:14" s="6" customFormat="1" ht="12.75">
      <c r="A431" s="59"/>
      <c r="B431" s="6" t="s">
        <v>264</v>
      </c>
      <c r="D431" s="9"/>
      <c r="E431" s="9"/>
      <c r="F431" s="51"/>
      <c r="G431" s="51"/>
      <c r="H431" s="62"/>
      <c r="I431" s="67"/>
      <c r="K431" s="45"/>
      <c r="L431" s="45"/>
      <c r="M431" s="45"/>
      <c r="N431" s="45"/>
    </row>
    <row r="432" spans="1:14" s="6" customFormat="1" ht="12.75">
      <c r="A432" s="59"/>
      <c r="B432" s="6" t="s">
        <v>265</v>
      </c>
      <c r="D432" s="9"/>
      <c r="E432" s="70">
        <v>12615.4</v>
      </c>
      <c r="F432" s="51"/>
      <c r="G432" s="51"/>
      <c r="H432" s="62"/>
      <c r="I432" s="67"/>
      <c r="K432" s="45"/>
      <c r="L432" s="45"/>
      <c r="M432" s="45"/>
      <c r="N432" s="45"/>
    </row>
    <row r="433" spans="1:14" s="6" customFormat="1" ht="12.75">
      <c r="A433" s="59"/>
      <c r="B433" s="6" t="s">
        <v>506</v>
      </c>
      <c r="D433" s="9"/>
      <c r="E433" s="70">
        <v>10622.96</v>
      </c>
      <c r="F433" s="51"/>
      <c r="G433" s="51"/>
      <c r="H433" s="62"/>
      <c r="I433" s="67"/>
      <c r="K433" s="45"/>
      <c r="L433" s="45"/>
      <c r="M433" s="45"/>
      <c r="N433" s="45"/>
    </row>
    <row r="434" spans="1:14" s="6" customFormat="1" ht="12.75">
      <c r="A434" s="59"/>
      <c r="B434" s="6" t="s">
        <v>273</v>
      </c>
      <c r="D434" s="9"/>
      <c r="E434" s="70">
        <f>8689.17-E435</f>
        <v>7778.29</v>
      </c>
      <c r="F434" s="51"/>
      <c r="G434" s="51"/>
      <c r="H434" s="62"/>
      <c r="I434" s="67"/>
      <c r="K434" s="45"/>
      <c r="L434" s="45"/>
      <c r="M434" s="45"/>
      <c r="N434" s="45"/>
    </row>
    <row r="435" spans="1:14" s="6" customFormat="1" ht="12.75">
      <c r="A435" s="59"/>
      <c r="B435" s="6" t="s">
        <v>268</v>
      </c>
      <c r="D435" s="9"/>
      <c r="E435" s="70">
        <v>910.88</v>
      </c>
      <c r="F435" s="51"/>
      <c r="G435" s="51"/>
      <c r="H435" s="62"/>
      <c r="I435" s="67"/>
      <c r="K435" s="45"/>
      <c r="L435" s="45"/>
      <c r="M435" s="45"/>
      <c r="N435" s="45"/>
    </row>
    <row r="436" spans="1:14" s="6" customFormat="1" ht="12.75">
      <c r="A436" s="59"/>
      <c r="B436" s="6" t="s">
        <v>339</v>
      </c>
      <c r="D436" s="9"/>
      <c r="E436" s="70">
        <v>24577.97</v>
      </c>
      <c r="F436" s="51"/>
      <c r="G436" s="51"/>
      <c r="H436" s="62"/>
      <c r="I436" s="67"/>
      <c r="K436" s="45"/>
      <c r="L436" s="45"/>
      <c r="M436" s="45"/>
      <c r="N436" s="45"/>
    </row>
    <row r="437" spans="1:14" s="6" customFormat="1" ht="12.75">
      <c r="A437" s="59"/>
      <c r="B437" s="6" t="s">
        <v>340</v>
      </c>
      <c r="D437" s="9"/>
      <c r="E437" s="70">
        <f>3531.43+2921.23+4073.3</f>
        <v>10525.96</v>
      </c>
      <c r="F437" s="51"/>
      <c r="G437" s="51"/>
      <c r="H437" s="62"/>
      <c r="I437" s="67"/>
      <c r="K437" s="45"/>
      <c r="L437" s="45"/>
      <c r="M437" s="45"/>
      <c r="N437" s="45"/>
    </row>
    <row r="438" spans="1:14" s="6" customFormat="1" ht="12.75">
      <c r="A438" s="59"/>
      <c r="B438" s="75" t="s">
        <v>707</v>
      </c>
      <c r="D438" s="9"/>
      <c r="E438" s="92">
        <f>5388.09+8894.01</f>
        <v>14282.1</v>
      </c>
      <c r="F438" s="51"/>
      <c r="G438" s="51"/>
      <c r="H438" s="62"/>
      <c r="I438" s="67"/>
      <c r="K438" s="45"/>
      <c r="L438" s="45"/>
      <c r="M438" s="45"/>
      <c r="N438" s="45"/>
    </row>
    <row r="439" spans="1:14" s="6" customFormat="1" ht="12.75">
      <c r="A439" s="59"/>
      <c r="B439" s="75" t="s">
        <v>708</v>
      </c>
      <c r="D439" s="9"/>
      <c r="E439" s="92"/>
      <c r="F439" s="51"/>
      <c r="G439" s="51"/>
      <c r="H439" s="62"/>
      <c r="I439" s="67"/>
      <c r="K439" s="45"/>
      <c r="L439" s="45"/>
      <c r="M439" s="45"/>
      <c r="N439" s="45"/>
    </row>
    <row r="440" spans="1:14" s="6" customFormat="1" ht="12.75">
      <c r="A440" s="59"/>
      <c r="B440" s="6" t="s">
        <v>341</v>
      </c>
      <c r="D440" s="9"/>
      <c r="E440" s="70">
        <v>2248.19</v>
      </c>
      <c r="F440" s="51"/>
      <c r="G440" s="51"/>
      <c r="H440" s="62"/>
      <c r="I440" s="67"/>
      <c r="K440" s="45"/>
      <c r="L440" s="45"/>
      <c r="M440" s="45"/>
      <c r="N440" s="45"/>
    </row>
    <row r="441" spans="1:14" s="6" customFormat="1" ht="12.75">
      <c r="A441" s="59"/>
      <c r="B441" s="6" t="s">
        <v>342</v>
      </c>
      <c r="D441" s="9"/>
      <c r="E441" s="70">
        <v>3956.28</v>
      </c>
      <c r="F441" s="51"/>
      <c r="G441" s="51"/>
      <c r="H441" s="62"/>
      <c r="I441" s="67"/>
      <c r="K441" s="45"/>
      <c r="L441" s="45"/>
      <c r="M441" s="45"/>
      <c r="N441" s="45"/>
    </row>
    <row r="442" spans="1:14" s="6" customFormat="1" ht="12.75">
      <c r="A442" s="59"/>
      <c r="B442" s="6" t="s">
        <v>343</v>
      </c>
      <c r="D442" s="9"/>
      <c r="E442" s="70">
        <v>1804.12</v>
      </c>
      <c r="F442" s="51"/>
      <c r="G442" s="51"/>
      <c r="H442" s="62"/>
      <c r="I442" s="67"/>
      <c r="K442" s="45"/>
      <c r="L442" s="45"/>
      <c r="M442" s="45"/>
      <c r="N442" s="45"/>
    </row>
    <row r="443" spans="1:14" s="6" customFormat="1" ht="12.75">
      <c r="A443" s="59"/>
      <c r="B443" s="6" t="s">
        <v>388</v>
      </c>
      <c r="D443" s="9"/>
      <c r="E443" s="70">
        <v>831</v>
      </c>
      <c r="F443" s="51"/>
      <c r="G443" s="51"/>
      <c r="H443" s="62"/>
      <c r="I443" s="67"/>
      <c r="K443" s="45"/>
      <c r="L443" s="45"/>
      <c r="M443" s="45"/>
      <c r="N443" s="45"/>
    </row>
    <row r="444" spans="1:14" s="6" customFormat="1" ht="12.75">
      <c r="A444" s="59"/>
      <c r="B444" s="6" t="s">
        <v>344</v>
      </c>
      <c r="D444" s="9"/>
      <c r="E444" s="70">
        <v>2065.73</v>
      </c>
      <c r="F444" s="51"/>
      <c r="G444" s="51"/>
      <c r="H444" s="62"/>
      <c r="I444" s="67"/>
      <c r="K444" s="45"/>
      <c r="L444" s="45"/>
      <c r="M444" s="45"/>
      <c r="N444" s="45"/>
    </row>
    <row r="445" spans="1:14" s="6" customFormat="1" ht="12.75">
      <c r="A445" s="59"/>
      <c r="B445" s="6" t="s">
        <v>417</v>
      </c>
      <c r="D445" s="9"/>
      <c r="E445" s="70">
        <v>3868.91</v>
      </c>
      <c r="F445" s="51"/>
      <c r="G445" s="51"/>
      <c r="H445" s="62"/>
      <c r="I445" s="67"/>
      <c r="K445" s="45"/>
      <c r="L445" s="45"/>
      <c r="M445" s="45"/>
      <c r="N445" s="45"/>
    </row>
    <row r="446" spans="1:14" s="6" customFormat="1" ht="12.75">
      <c r="A446" s="59"/>
      <c r="B446" s="6" t="s">
        <v>710</v>
      </c>
      <c r="D446" s="9"/>
      <c r="E446" s="70">
        <v>15170.75</v>
      </c>
      <c r="F446" s="51"/>
      <c r="G446" s="51"/>
      <c r="H446" s="62"/>
      <c r="I446" s="67"/>
      <c r="K446" s="45"/>
      <c r="L446" s="45"/>
      <c r="M446" s="45"/>
      <c r="N446" s="45"/>
    </row>
    <row r="447" spans="1:14" s="6" customFormat="1" ht="12.75">
      <c r="A447" s="59"/>
      <c r="B447" s="6" t="s">
        <v>711</v>
      </c>
      <c r="D447" s="9"/>
      <c r="E447" s="70">
        <v>11656.45</v>
      </c>
      <c r="F447" s="51"/>
      <c r="G447" s="51"/>
      <c r="H447" s="62"/>
      <c r="I447" s="67"/>
      <c r="K447" s="45"/>
      <c r="L447" s="45"/>
      <c r="M447" s="45"/>
      <c r="N447" s="45"/>
    </row>
    <row r="448" spans="1:14" s="6" customFormat="1" ht="12.75">
      <c r="A448" s="59"/>
      <c r="B448" s="6" t="s">
        <v>321</v>
      </c>
      <c r="D448" s="9"/>
      <c r="F448" s="51"/>
      <c r="G448" s="51"/>
      <c r="H448" s="62"/>
      <c r="I448" s="67"/>
      <c r="K448" s="45"/>
      <c r="L448" s="45"/>
      <c r="M448" s="45"/>
      <c r="N448" s="45"/>
    </row>
    <row r="449" spans="1:14" s="6" customFormat="1" ht="12.75">
      <c r="A449" s="59"/>
      <c r="B449" s="6" t="s">
        <v>270</v>
      </c>
      <c r="D449" s="9"/>
      <c r="F449" s="51">
        <v>26100</v>
      </c>
      <c r="G449" s="51">
        <v>26100</v>
      </c>
      <c r="H449" s="62">
        <f>G449/F449</f>
        <v>1</v>
      </c>
      <c r="I449" s="67">
        <f>G449/G$729</f>
        <v>0.0008214045600918059</v>
      </c>
      <c r="K449" s="45"/>
      <c r="L449" s="45"/>
      <c r="M449" s="45"/>
      <c r="N449" s="45"/>
    </row>
    <row r="450" spans="1:14" s="6" customFormat="1" ht="12.75">
      <c r="A450" s="59"/>
      <c r="D450" s="9"/>
      <c r="F450" s="51"/>
      <c r="G450" s="51"/>
      <c r="H450" s="62"/>
      <c r="I450" s="67"/>
      <c r="K450" s="45"/>
      <c r="L450" s="45"/>
      <c r="M450" s="45"/>
      <c r="N450" s="45"/>
    </row>
    <row r="451" spans="1:14" s="26" customFormat="1" ht="12.75">
      <c r="A451" s="76"/>
      <c r="B451" s="26" t="s">
        <v>364</v>
      </c>
      <c r="D451" s="27"/>
      <c r="F451" s="48"/>
      <c r="G451" s="48"/>
      <c r="H451" s="68"/>
      <c r="I451" s="69"/>
      <c r="K451" s="94"/>
      <c r="L451" s="94"/>
      <c r="M451" s="94"/>
      <c r="N451" s="94"/>
    </row>
    <row r="452" spans="1:14" s="26" customFormat="1" ht="12.75">
      <c r="A452" s="76"/>
      <c r="B452" s="26" t="s">
        <v>365</v>
      </c>
      <c r="D452" s="27"/>
      <c r="F452" s="48"/>
      <c r="G452" s="48"/>
      <c r="H452" s="68"/>
      <c r="I452" s="69"/>
      <c r="K452" s="94"/>
      <c r="L452" s="94"/>
      <c r="M452" s="94"/>
      <c r="N452" s="94"/>
    </row>
    <row r="453" spans="1:14" s="26" customFormat="1" ht="12.75">
      <c r="A453" s="76"/>
      <c r="B453" s="26" t="s">
        <v>366</v>
      </c>
      <c r="D453" s="27"/>
      <c r="F453" s="48">
        <v>35920</v>
      </c>
      <c r="G453" s="48">
        <v>33480.09</v>
      </c>
      <c r="H453" s="68">
        <f>G453/F453</f>
        <v>0.9320737750556792</v>
      </c>
      <c r="I453" s="69">
        <f>G453/G$729</f>
        <v>0.0010536666129610753</v>
      </c>
      <c r="K453" s="94"/>
      <c r="L453" s="94"/>
      <c r="M453" s="94"/>
      <c r="N453" s="94"/>
    </row>
    <row r="454" spans="1:14" s="26" customFormat="1" ht="12.75">
      <c r="A454" s="76"/>
      <c r="D454" s="27"/>
      <c r="F454" s="48"/>
      <c r="G454" s="48"/>
      <c r="H454" s="68"/>
      <c r="I454" s="69"/>
      <c r="K454" s="94"/>
      <c r="L454" s="94"/>
      <c r="M454" s="94"/>
      <c r="N454" s="94"/>
    </row>
    <row r="455" spans="1:14" s="26" customFormat="1" ht="12.75">
      <c r="A455" s="76"/>
      <c r="B455" s="26" t="s">
        <v>367</v>
      </c>
      <c r="D455" s="27"/>
      <c r="F455" s="48">
        <f>1419228-99440-15100</f>
        <v>1304688</v>
      </c>
      <c r="G455" s="48">
        <f>1379845.02-99439.94-15081.8</f>
        <v>1265323.28</v>
      </c>
      <c r="H455" s="68">
        <f>G455/F455</f>
        <v>0.9698282501257006</v>
      </c>
      <c r="I455" s="69">
        <f>G455/G$729</f>
        <v>0.03982154452805828</v>
      </c>
      <c r="K455" s="94"/>
      <c r="L455" s="94"/>
      <c r="M455" s="94"/>
      <c r="N455" s="94"/>
    </row>
    <row r="456" spans="1:14" s="15" customFormat="1" ht="12.75">
      <c r="A456" s="59"/>
      <c r="B456" s="15" t="s">
        <v>259</v>
      </c>
      <c r="D456" s="20"/>
      <c r="F456" s="49"/>
      <c r="G456" s="49"/>
      <c r="H456" s="62"/>
      <c r="I456" s="67"/>
      <c r="K456" s="52"/>
      <c r="L456" s="52"/>
      <c r="M456" s="52"/>
      <c r="N456" s="52"/>
    </row>
    <row r="457" spans="1:14" s="15" customFormat="1" ht="12.75">
      <c r="A457" s="59"/>
      <c r="B457" s="6" t="s">
        <v>345</v>
      </c>
      <c r="D457" s="20"/>
      <c r="F457" s="49"/>
      <c r="G457" s="49"/>
      <c r="H457" s="62"/>
      <c r="I457" s="67"/>
      <c r="K457" s="52"/>
      <c r="L457" s="52"/>
      <c r="M457" s="52"/>
      <c r="N457" s="52"/>
    </row>
    <row r="458" spans="1:14" s="15" customFormat="1" ht="12.75">
      <c r="A458" s="59"/>
      <c r="B458" s="15" t="s">
        <v>89</v>
      </c>
      <c r="D458" s="20"/>
      <c r="F458" s="49">
        <f>740768+50410+135650+18750</f>
        <v>945578</v>
      </c>
      <c r="G458" s="49">
        <f>740694.9+50407.6+135650+18750</f>
        <v>945502.5</v>
      </c>
      <c r="H458" s="62">
        <f>G458/F458</f>
        <v>0.9999201546567285</v>
      </c>
      <c r="I458" s="67">
        <f>G458/G$729</f>
        <v>0.02975632433249819</v>
      </c>
      <c r="K458" s="52"/>
      <c r="L458" s="52"/>
      <c r="M458" s="52"/>
      <c r="N458" s="52"/>
    </row>
    <row r="459" spans="1:14" s="15" customFormat="1" ht="12.75">
      <c r="A459" s="59"/>
      <c r="B459" s="15" t="s">
        <v>346</v>
      </c>
      <c r="D459" s="20"/>
      <c r="F459" s="49">
        <f>42900+123680+11650+48800+43500+1780+13790+900+5200+790+1250</f>
        <v>294240</v>
      </c>
      <c r="G459" s="49">
        <f>42053.76+86332.14+11634.85+48737.07+43420.62+1610.14+13439.16+685.6+5127.34+744.24+1248.99</f>
        <v>255033.91</v>
      </c>
      <c r="H459" s="62">
        <f>G459/F459</f>
        <v>0.8667547240348016</v>
      </c>
      <c r="I459" s="67">
        <f>G459/G$729</f>
        <v>0.008026284162913533</v>
      </c>
      <c r="K459" s="52"/>
      <c r="L459" s="52"/>
      <c r="M459" s="52"/>
      <c r="N459" s="52"/>
    </row>
    <row r="460" spans="1:14" s="15" customFormat="1" ht="12.75">
      <c r="A460" s="59"/>
      <c r="B460" s="15" t="s">
        <v>347</v>
      </c>
      <c r="D460" s="20"/>
      <c r="E460" s="15" t="s">
        <v>263</v>
      </c>
      <c r="F460" s="49"/>
      <c r="G460" s="49"/>
      <c r="H460" s="62"/>
      <c r="I460" s="67"/>
      <c r="K460" s="52"/>
      <c r="L460" s="52"/>
      <c r="M460" s="52"/>
      <c r="N460" s="52"/>
    </row>
    <row r="461" spans="1:14" s="15" customFormat="1" ht="12.75">
      <c r="A461" s="59"/>
      <c r="B461" s="15" t="s">
        <v>514</v>
      </c>
      <c r="D461" s="20"/>
      <c r="E461" s="104">
        <v>26970.81</v>
      </c>
      <c r="F461" s="49"/>
      <c r="G461" s="49"/>
      <c r="H461" s="62"/>
      <c r="I461" s="67"/>
      <c r="K461" s="52"/>
      <c r="L461" s="52"/>
      <c r="M461" s="52"/>
      <c r="N461" s="52"/>
    </row>
    <row r="462" spans="1:14" s="15" customFormat="1" ht="12.75">
      <c r="A462" s="59"/>
      <c r="B462" s="15" t="s">
        <v>515</v>
      </c>
      <c r="D462" s="20"/>
      <c r="E462" s="104">
        <v>12263.75</v>
      </c>
      <c r="F462" s="49"/>
      <c r="G462" s="49"/>
      <c r="H462" s="62"/>
      <c r="I462" s="67"/>
      <c r="K462" s="52"/>
      <c r="L462" s="52"/>
      <c r="M462" s="52"/>
      <c r="N462" s="52"/>
    </row>
    <row r="463" spans="1:14" s="15" customFormat="1" ht="12.75">
      <c r="A463" s="59"/>
      <c r="B463" s="15" t="s">
        <v>517</v>
      </c>
      <c r="D463" s="20"/>
      <c r="E463" s="104">
        <v>7476.51</v>
      </c>
      <c r="F463" s="49"/>
      <c r="G463" s="49"/>
      <c r="H463" s="62"/>
      <c r="I463" s="67"/>
      <c r="K463" s="52"/>
      <c r="L463" s="52"/>
      <c r="M463" s="52"/>
      <c r="N463" s="52"/>
    </row>
    <row r="464" spans="1:14" s="15" customFormat="1" ht="12.75">
      <c r="A464" s="59" t="s">
        <v>312</v>
      </c>
      <c r="B464" s="15" t="s">
        <v>518</v>
      </c>
      <c r="D464" s="20"/>
      <c r="E464" s="72">
        <f>7550.3+2958.54</f>
        <v>10508.84</v>
      </c>
      <c r="F464" s="49"/>
      <c r="G464" s="49"/>
      <c r="H464" s="62"/>
      <c r="I464" s="67"/>
      <c r="K464" s="52"/>
      <c r="L464" s="52"/>
      <c r="M464" s="52"/>
      <c r="N464" s="52"/>
    </row>
    <row r="465" spans="1:14" s="15" customFormat="1" ht="12.75">
      <c r="A465" s="59"/>
      <c r="B465" s="15" t="s">
        <v>519</v>
      </c>
      <c r="D465" s="20"/>
      <c r="E465" s="72">
        <v>2984.63</v>
      </c>
      <c r="F465" s="49"/>
      <c r="G465" s="49"/>
      <c r="H465" s="62"/>
      <c r="I465" s="67"/>
      <c r="K465" s="52"/>
      <c r="L465" s="52"/>
      <c r="M465" s="52"/>
      <c r="N465" s="52"/>
    </row>
    <row r="466" spans="1:14" s="15" customFormat="1" ht="12.75">
      <c r="A466" s="59"/>
      <c r="B466" s="15" t="s">
        <v>266</v>
      </c>
      <c r="D466" s="20"/>
      <c r="E466" s="72">
        <v>86332.14</v>
      </c>
      <c r="F466" s="49"/>
      <c r="G466" s="49"/>
      <c r="H466" s="62"/>
      <c r="I466" s="67"/>
      <c r="K466" s="52"/>
      <c r="L466" s="52"/>
      <c r="M466" s="52"/>
      <c r="N466" s="52"/>
    </row>
    <row r="467" spans="1:14" s="15" customFormat="1" ht="12.75">
      <c r="A467" s="59"/>
      <c r="B467" s="15" t="s">
        <v>520</v>
      </c>
      <c r="D467" s="20"/>
      <c r="E467" s="72">
        <v>11634.85</v>
      </c>
      <c r="F467" s="49"/>
      <c r="G467" s="49"/>
      <c r="H467" s="62"/>
      <c r="I467" s="67"/>
      <c r="K467" s="52"/>
      <c r="L467" s="52"/>
      <c r="M467" s="52"/>
      <c r="N467" s="52"/>
    </row>
    <row r="468" spans="1:14" s="15" customFormat="1" ht="12.75">
      <c r="A468" s="59"/>
      <c r="B468" s="15" t="s">
        <v>521</v>
      </c>
      <c r="D468" s="20"/>
      <c r="E468" s="72">
        <f>1909.6+5218.07</f>
        <v>7127.67</v>
      </c>
      <c r="F468" s="49"/>
      <c r="G468" s="49"/>
      <c r="H468" s="62"/>
      <c r="I468" s="67"/>
      <c r="K468" s="52"/>
      <c r="L468" s="52"/>
      <c r="M468" s="52"/>
      <c r="N468" s="52"/>
    </row>
    <row r="469" spans="1:14" s="15" customFormat="1" ht="12.75">
      <c r="A469" s="59"/>
      <c r="B469" s="15" t="s">
        <v>522</v>
      </c>
      <c r="D469" s="20"/>
      <c r="E469" s="72">
        <v>6100</v>
      </c>
      <c r="F469" s="49"/>
      <c r="G469" s="49"/>
      <c r="H469" s="62"/>
      <c r="I469" s="67"/>
      <c r="K469" s="52"/>
      <c r="L469" s="52"/>
      <c r="M469" s="52"/>
      <c r="N469" s="52"/>
    </row>
    <row r="470" spans="1:14" s="15" customFormat="1" ht="12.75">
      <c r="A470" s="59"/>
      <c r="B470" s="15" t="s">
        <v>523</v>
      </c>
      <c r="D470" s="20"/>
      <c r="E470" s="72">
        <v>13176</v>
      </c>
      <c r="F470" s="49"/>
      <c r="G470" s="49"/>
      <c r="H470" s="62"/>
      <c r="I470" s="67"/>
      <c r="K470" s="52"/>
      <c r="L470" s="52"/>
      <c r="M470" s="52"/>
      <c r="N470" s="52"/>
    </row>
    <row r="471" spans="1:14" s="15" customFormat="1" ht="12.75">
      <c r="A471" s="59"/>
      <c r="B471" s="15" t="s">
        <v>90</v>
      </c>
      <c r="D471" s="20"/>
      <c r="E471" s="72">
        <v>9047</v>
      </c>
      <c r="F471" s="49"/>
      <c r="G471" s="49"/>
      <c r="H471" s="62"/>
      <c r="I471" s="67"/>
      <c r="K471" s="52"/>
      <c r="L471" s="52"/>
      <c r="M471" s="52"/>
      <c r="N471" s="52"/>
    </row>
    <row r="472" spans="1:14" s="15" customFormat="1" ht="12.75">
      <c r="A472" s="59"/>
      <c r="B472" s="15" t="s">
        <v>91</v>
      </c>
      <c r="D472" s="20"/>
      <c r="E472" s="72">
        <v>2693.78</v>
      </c>
      <c r="F472" s="49"/>
      <c r="G472" s="49"/>
      <c r="H472" s="62"/>
      <c r="I472" s="67"/>
      <c r="K472" s="52"/>
      <c r="L472" s="52"/>
      <c r="M472" s="52"/>
      <c r="N472" s="52"/>
    </row>
    <row r="473" spans="1:14" s="15" customFormat="1" ht="12.75">
      <c r="A473" s="59"/>
      <c r="B473" s="15" t="s">
        <v>92</v>
      </c>
      <c r="D473" s="20"/>
      <c r="E473" s="72">
        <v>5127.34</v>
      </c>
      <c r="F473" s="49"/>
      <c r="G473" s="49"/>
      <c r="H473" s="62"/>
      <c r="I473" s="67"/>
      <c r="K473" s="52"/>
      <c r="L473" s="52"/>
      <c r="M473" s="52"/>
      <c r="N473" s="52"/>
    </row>
    <row r="474" spans="1:14" s="15" customFormat="1" ht="13.5" customHeight="1">
      <c r="A474" s="59"/>
      <c r="B474" s="15" t="s">
        <v>524</v>
      </c>
      <c r="D474" s="20"/>
      <c r="E474" s="72">
        <v>1599.99</v>
      </c>
      <c r="F474" s="49"/>
      <c r="G474" s="49"/>
      <c r="H474" s="62"/>
      <c r="I474" s="67"/>
      <c r="K474" s="52"/>
      <c r="L474" s="52"/>
      <c r="M474" s="52"/>
      <c r="N474" s="52"/>
    </row>
    <row r="475" spans="1:14" s="15" customFormat="1" ht="13.5" customHeight="1">
      <c r="A475" s="59"/>
      <c r="B475" s="15" t="s">
        <v>419</v>
      </c>
      <c r="D475" s="20"/>
      <c r="E475" s="72">
        <v>2928</v>
      </c>
      <c r="F475" s="49"/>
      <c r="G475" s="49"/>
      <c r="H475" s="62"/>
      <c r="I475" s="67"/>
      <c r="K475" s="52"/>
      <c r="L475" s="52"/>
      <c r="M475" s="52"/>
      <c r="N475" s="52"/>
    </row>
    <row r="476" spans="1:14" s="15" customFormat="1" ht="13.5" customHeight="1">
      <c r="A476" s="59"/>
      <c r="D476" s="20"/>
      <c r="E476" s="72"/>
      <c r="F476" s="49"/>
      <c r="G476" s="49"/>
      <c r="H476" s="62"/>
      <c r="I476" s="67"/>
      <c r="K476" s="52"/>
      <c r="L476" s="52"/>
      <c r="M476" s="52"/>
      <c r="N476" s="52"/>
    </row>
    <row r="477" spans="1:14" s="15" customFormat="1" ht="12.75">
      <c r="A477" s="59"/>
      <c r="B477" s="6" t="s">
        <v>418</v>
      </c>
      <c r="D477" s="20"/>
      <c r="E477" s="20"/>
      <c r="F477" s="49">
        <v>40190</v>
      </c>
      <c r="G477" s="49">
        <v>40190</v>
      </c>
      <c r="H477" s="62">
        <f>G477/F477</f>
        <v>1</v>
      </c>
      <c r="I477" s="67">
        <f>G477/G$729</f>
        <v>0.0012648371367850453</v>
      </c>
      <c r="K477" s="52"/>
      <c r="L477" s="52"/>
      <c r="M477" s="52"/>
      <c r="N477" s="52"/>
    </row>
    <row r="478" spans="1:14" s="15" customFormat="1" ht="12.75">
      <c r="A478" s="59"/>
      <c r="B478" s="6" t="s">
        <v>270</v>
      </c>
      <c r="D478" s="20"/>
      <c r="E478" s="20"/>
      <c r="F478" s="49"/>
      <c r="G478" s="49"/>
      <c r="H478" s="62"/>
      <c r="I478" s="67"/>
      <c r="K478" s="52"/>
      <c r="L478" s="52"/>
      <c r="M478" s="52"/>
      <c r="N478" s="52"/>
    </row>
    <row r="479" spans="1:14" s="26" customFormat="1" ht="12.75">
      <c r="A479" s="76"/>
      <c r="B479" s="26" t="s">
        <v>368</v>
      </c>
      <c r="D479" s="27"/>
      <c r="F479" s="48">
        <f>2082169-53065-5000</f>
        <v>2024104</v>
      </c>
      <c r="G479" s="48">
        <f>2058452.17-53063.25-4989.07</f>
        <v>2000399.8499999999</v>
      </c>
      <c r="H479" s="68">
        <f>G479/F479</f>
        <v>0.9882890651863737</v>
      </c>
      <c r="I479" s="69">
        <f>G479/G$729</f>
        <v>0.06295546202287221</v>
      </c>
      <c r="K479" s="94"/>
      <c r="L479" s="94"/>
      <c r="M479" s="94"/>
      <c r="N479" s="94"/>
    </row>
    <row r="480" spans="1:14" s="6" customFormat="1" ht="12.75">
      <c r="A480" s="59"/>
      <c r="B480" s="6" t="s">
        <v>259</v>
      </c>
      <c r="D480" s="9"/>
      <c r="F480" s="51"/>
      <c r="G480" s="51"/>
      <c r="H480" s="62"/>
      <c r="I480" s="67"/>
      <c r="K480" s="45"/>
      <c r="L480" s="45"/>
      <c r="M480" s="45"/>
      <c r="N480" s="45"/>
    </row>
    <row r="481" spans="1:14" s="6" customFormat="1" ht="12.75">
      <c r="A481" s="59"/>
      <c r="B481" s="6" t="s">
        <v>260</v>
      </c>
      <c r="D481" s="9"/>
      <c r="F481" s="45"/>
      <c r="G481" s="45"/>
      <c r="H481" s="62"/>
      <c r="I481" s="67"/>
      <c r="K481" s="45"/>
      <c r="L481" s="45"/>
      <c r="M481" s="45"/>
      <c r="N481" s="45"/>
    </row>
    <row r="482" spans="1:14" s="6" customFormat="1" ht="12.75">
      <c r="A482" s="59"/>
      <c r="B482" s="6" t="s">
        <v>525</v>
      </c>
      <c r="D482" s="9"/>
      <c r="F482" s="51">
        <f>899600+60600+162150+22901</f>
        <v>1145251</v>
      </c>
      <c r="G482" s="51">
        <f>895102.74+60556.75+162065.45+22900.46</f>
        <v>1140625.4</v>
      </c>
      <c r="H482" s="62">
        <f>G482/F482</f>
        <v>0.9959610600645622</v>
      </c>
      <c r="I482" s="67">
        <f>G482/G$729</f>
        <v>0.03589712279373717</v>
      </c>
      <c r="K482" s="45"/>
      <c r="L482" s="45"/>
      <c r="M482" s="45"/>
      <c r="N482" s="45"/>
    </row>
    <row r="483" spans="1:14" s="6" customFormat="1" ht="12.75">
      <c r="A483" s="59"/>
      <c r="B483" s="6" t="s">
        <v>261</v>
      </c>
      <c r="D483" s="9"/>
      <c r="F483" s="51"/>
      <c r="G483" s="51"/>
      <c r="H483" s="62"/>
      <c r="I483" s="67"/>
      <c r="K483" s="45"/>
      <c r="L483" s="45"/>
      <c r="M483" s="45"/>
      <c r="N483" s="45"/>
    </row>
    <row r="484" spans="1:14" s="6" customFormat="1" ht="12.75">
      <c r="A484" s="59"/>
      <c r="B484" s="6" t="s">
        <v>526</v>
      </c>
      <c r="D484" s="9"/>
      <c r="F484" s="51">
        <f>262500+20600+47400+6454+3700</f>
        <v>340654</v>
      </c>
      <c r="G484" s="51">
        <f>261637.72+18388.79+47398.03+6451.33+3669.93</f>
        <v>337545.80000000005</v>
      </c>
      <c r="H484" s="62">
        <f>G484/F484</f>
        <v>0.9908757859881289</v>
      </c>
      <c r="I484" s="67">
        <f>G484/G$729</f>
        <v>0.010623052082752365</v>
      </c>
      <c r="K484" s="45"/>
      <c r="L484" s="45"/>
      <c r="M484" s="45"/>
      <c r="N484" s="45"/>
    </row>
    <row r="485" spans="1:14" s="6" customFormat="1" ht="12.75">
      <c r="A485" s="59"/>
      <c r="B485" s="6" t="s">
        <v>262</v>
      </c>
      <c r="D485" s="9"/>
      <c r="F485" s="51"/>
      <c r="G485" s="51"/>
      <c r="H485" s="62"/>
      <c r="I485" s="67"/>
      <c r="K485" s="45"/>
      <c r="L485" s="45"/>
      <c r="M485" s="45"/>
      <c r="N485" s="45"/>
    </row>
    <row r="486" spans="1:14" s="6" customFormat="1" ht="12.75">
      <c r="A486" s="59"/>
      <c r="B486" s="6" t="s">
        <v>527</v>
      </c>
      <c r="D486" s="9"/>
      <c r="F486" s="51">
        <f>53267+5000+9710+1392</f>
        <v>69369</v>
      </c>
      <c r="G486" s="51">
        <f>53236.92+4577.58+9700.6+1390.22</f>
        <v>68905.32</v>
      </c>
      <c r="H486" s="62">
        <f>G486/F486</f>
        <v>0.9933157462267008</v>
      </c>
      <c r="I486" s="67">
        <f>G486/G$729</f>
        <v>0.0021685495809419587</v>
      </c>
      <c r="K486" s="45"/>
      <c r="L486" s="45"/>
      <c r="M486" s="45"/>
      <c r="N486" s="45"/>
    </row>
    <row r="487" spans="1:14" s="6" customFormat="1" ht="12.75">
      <c r="A487" s="59"/>
      <c r="B487" s="6" t="s">
        <v>528</v>
      </c>
      <c r="D487" s="9"/>
      <c r="F487" s="51">
        <v>2500</v>
      </c>
      <c r="G487" s="51">
        <v>2500</v>
      </c>
      <c r="H487" s="62">
        <f>G487/F487</f>
        <v>1</v>
      </c>
      <c r="I487" s="67">
        <f>G487/G$729</f>
        <v>7.86785977099431E-05</v>
      </c>
      <c r="K487" s="45"/>
      <c r="L487" s="45"/>
      <c r="M487" s="45"/>
      <c r="N487" s="45"/>
    </row>
    <row r="488" spans="1:14" s="6" customFormat="1" ht="12.75">
      <c r="A488" s="59"/>
      <c r="B488" s="59" t="s">
        <v>703</v>
      </c>
      <c r="D488" s="9"/>
      <c r="E488" s="71" t="s">
        <v>263</v>
      </c>
      <c r="F488" s="51">
        <f>58148+74000+11000+73000+67500+2300+49000+2300+13400+4500+11935</f>
        <v>367083</v>
      </c>
      <c r="G488" s="51">
        <f>57952.69+68523.18+10723.97+62081.65+67492.86+2274+48192.93+2293.36+13120.12+4472.42+11933.45</f>
        <v>349060.62999999995</v>
      </c>
      <c r="H488" s="62">
        <f>G488/F488</f>
        <v>0.9509038282895148</v>
      </c>
      <c r="I488" s="67">
        <f>G488/G$729</f>
        <v>0.010985440353659717</v>
      </c>
      <c r="K488" s="45"/>
      <c r="L488" s="45"/>
      <c r="M488" s="45"/>
      <c r="N488" s="45"/>
    </row>
    <row r="489" spans="1:14" s="6" customFormat="1" ht="12.75">
      <c r="A489" s="59"/>
      <c r="B489" s="6" t="s">
        <v>347</v>
      </c>
      <c r="D489" s="9"/>
      <c r="E489" s="9"/>
      <c r="F489" s="51"/>
      <c r="G489" s="51"/>
      <c r="H489" s="62"/>
      <c r="I489" s="67"/>
      <c r="K489" s="45"/>
      <c r="L489" s="45"/>
      <c r="M489" s="45"/>
      <c r="N489" s="45"/>
    </row>
    <row r="490" spans="1:14" s="6" customFormat="1" ht="12.75">
      <c r="A490" s="59"/>
      <c r="B490" s="6" t="s">
        <v>529</v>
      </c>
      <c r="D490" s="9"/>
      <c r="E490" s="70">
        <v>6541.79</v>
      </c>
      <c r="F490" s="51"/>
      <c r="G490" s="51"/>
      <c r="H490" s="62"/>
      <c r="I490" s="67"/>
      <c r="K490" s="45"/>
      <c r="L490" s="45"/>
      <c r="M490" s="45"/>
      <c r="N490" s="45"/>
    </row>
    <row r="491" spans="1:14" s="6" customFormat="1" ht="12.75">
      <c r="A491" s="59"/>
      <c r="B491" s="6" t="s">
        <v>530</v>
      </c>
      <c r="D491" s="9"/>
      <c r="E491" s="70">
        <v>15212.98</v>
      </c>
      <c r="F491" s="51"/>
      <c r="G491" s="51"/>
      <c r="H491" s="62"/>
      <c r="I491" s="67"/>
      <c r="K491" s="45"/>
      <c r="L491" s="45"/>
      <c r="M491" s="45"/>
      <c r="N491" s="45"/>
    </row>
    <row r="492" spans="1:14" s="6" customFormat="1" ht="12.75">
      <c r="A492" s="59"/>
      <c r="B492" s="6" t="s">
        <v>516</v>
      </c>
      <c r="D492" s="9"/>
      <c r="E492" s="70">
        <v>4592.92</v>
      </c>
      <c r="F492" s="51"/>
      <c r="G492" s="51"/>
      <c r="H492" s="62"/>
      <c r="I492" s="67"/>
      <c r="K492" s="45"/>
      <c r="L492" s="45"/>
      <c r="M492" s="45"/>
      <c r="N492" s="45"/>
    </row>
    <row r="493" spans="1:14" s="6" customFormat="1" ht="12.75">
      <c r="A493" s="59"/>
      <c r="B493" s="6" t="s">
        <v>531</v>
      </c>
      <c r="D493" s="9"/>
      <c r="E493" s="70">
        <v>40713.46</v>
      </c>
      <c r="F493" s="51"/>
      <c r="G493" s="51"/>
      <c r="H493" s="62"/>
      <c r="I493" s="67"/>
      <c r="K493" s="45"/>
      <c r="L493" s="45"/>
      <c r="M493" s="45"/>
      <c r="N493" s="45"/>
    </row>
    <row r="494" spans="1:14" s="6" customFormat="1" ht="12.75">
      <c r="A494" s="59"/>
      <c r="B494" s="6" t="s">
        <v>532</v>
      </c>
      <c r="D494" s="9"/>
      <c r="E494" s="70">
        <v>362.29</v>
      </c>
      <c r="F494" s="51"/>
      <c r="G494" s="51"/>
      <c r="H494" s="62"/>
      <c r="I494" s="67"/>
      <c r="K494" s="45"/>
      <c r="L494" s="45"/>
      <c r="M494" s="45"/>
      <c r="N494" s="45"/>
    </row>
    <row r="495" spans="1:14" s="6" customFormat="1" ht="12.75">
      <c r="A495" s="59"/>
      <c r="B495" s="6" t="s">
        <v>533</v>
      </c>
      <c r="D495" s="9"/>
      <c r="E495" s="70">
        <v>67492.86</v>
      </c>
      <c r="F495" s="51"/>
      <c r="G495" s="51"/>
      <c r="H495" s="62"/>
      <c r="I495" s="67"/>
      <c r="K495" s="45"/>
      <c r="L495" s="45"/>
      <c r="M495" s="45"/>
      <c r="N495" s="45"/>
    </row>
    <row r="496" spans="1:14" s="6" customFormat="1" ht="12.75">
      <c r="A496" s="59"/>
      <c r="B496" s="6" t="s">
        <v>534</v>
      </c>
      <c r="D496" s="9"/>
      <c r="E496" s="70">
        <v>68523.18</v>
      </c>
      <c r="F496" s="51"/>
      <c r="G496" s="51"/>
      <c r="H496" s="62"/>
      <c r="I496" s="67"/>
      <c r="K496" s="45"/>
      <c r="L496" s="45"/>
      <c r="M496" s="45"/>
      <c r="N496" s="45"/>
    </row>
    <row r="497" spans="1:14" s="6" customFormat="1" ht="12.75">
      <c r="A497" s="59"/>
      <c r="B497" s="6" t="s">
        <v>535</v>
      </c>
      <c r="D497" s="9"/>
      <c r="E497" s="70">
        <f>11104.54+7649.99</f>
        <v>18754.53</v>
      </c>
      <c r="F497" s="51"/>
      <c r="G497" s="51"/>
      <c r="H497" s="62"/>
      <c r="I497" s="67"/>
      <c r="K497" s="45"/>
      <c r="L497" s="45"/>
      <c r="M497" s="45"/>
      <c r="N497" s="45"/>
    </row>
    <row r="498" spans="1:14" s="6" customFormat="1" ht="12.75">
      <c r="A498" s="59"/>
      <c r="B498" s="15" t="s">
        <v>536</v>
      </c>
      <c r="D498" s="9"/>
      <c r="E498" s="70">
        <v>16044.21</v>
      </c>
      <c r="F498" s="51"/>
      <c r="G498" s="51"/>
      <c r="H498" s="62"/>
      <c r="I498" s="67"/>
      <c r="K498" s="45"/>
      <c r="L498" s="45"/>
      <c r="M498" s="45"/>
      <c r="N498" s="45"/>
    </row>
    <row r="499" spans="1:14" s="6" customFormat="1" ht="12.75">
      <c r="A499" s="59"/>
      <c r="B499" s="6" t="s">
        <v>537</v>
      </c>
      <c r="D499" s="9"/>
      <c r="E499" s="70">
        <v>9686.01</v>
      </c>
      <c r="F499" s="51"/>
      <c r="G499" s="51"/>
      <c r="H499" s="62"/>
      <c r="I499" s="67"/>
      <c r="K499" s="45"/>
      <c r="L499" s="45"/>
      <c r="M499" s="45"/>
      <c r="N499" s="45"/>
    </row>
    <row r="500" spans="1:14" s="6" customFormat="1" ht="12.75">
      <c r="A500" s="59"/>
      <c r="B500" s="6" t="s">
        <v>538</v>
      </c>
      <c r="D500" s="9"/>
      <c r="E500" s="70">
        <v>3660</v>
      </c>
      <c r="F500" s="51"/>
      <c r="G500" s="51"/>
      <c r="H500" s="62"/>
      <c r="I500" s="67"/>
      <c r="K500" s="45"/>
      <c r="L500" s="45"/>
      <c r="M500" s="45"/>
      <c r="N500" s="45"/>
    </row>
    <row r="501" spans="1:14" s="6" customFormat="1" ht="12.75">
      <c r="A501" s="59"/>
      <c r="B501" s="6" t="s">
        <v>511</v>
      </c>
      <c r="D501" s="9"/>
      <c r="E501" s="70">
        <v>13120.12</v>
      </c>
      <c r="F501" s="51"/>
      <c r="G501" s="51"/>
      <c r="H501" s="62"/>
      <c r="I501" s="67"/>
      <c r="K501" s="45"/>
      <c r="L501" s="45"/>
      <c r="M501" s="45"/>
      <c r="N501" s="45"/>
    </row>
    <row r="502" spans="1:14" s="6" customFormat="1" ht="12.75">
      <c r="A502" s="59"/>
      <c r="B502" s="6" t="s">
        <v>539</v>
      </c>
      <c r="D502" s="9"/>
      <c r="E502" s="70">
        <v>10723.97</v>
      </c>
      <c r="F502" s="51"/>
      <c r="G502" s="51"/>
      <c r="H502" s="62"/>
      <c r="I502" s="67"/>
      <c r="K502" s="45"/>
      <c r="L502" s="45"/>
      <c r="M502" s="45"/>
      <c r="N502" s="45"/>
    </row>
    <row r="503" spans="1:14" s="6" customFormat="1" ht="12.75">
      <c r="A503" s="59"/>
      <c r="B503" s="6" t="s">
        <v>540</v>
      </c>
      <c r="D503" s="9"/>
      <c r="E503" s="70">
        <v>2871.2</v>
      </c>
      <c r="F503" s="51"/>
      <c r="G503" s="51"/>
      <c r="H503" s="62"/>
      <c r="I503" s="67"/>
      <c r="K503" s="45"/>
      <c r="L503" s="45"/>
      <c r="M503" s="45"/>
      <c r="N503" s="45"/>
    </row>
    <row r="504" spans="1:14" s="6" customFormat="1" ht="12.75">
      <c r="A504" s="59"/>
      <c r="B504" s="6" t="s">
        <v>541</v>
      </c>
      <c r="D504" s="9"/>
      <c r="E504" s="70">
        <f>3390.33+2425.32</f>
        <v>5815.65</v>
      </c>
      <c r="F504" s="51"/>
      <c r="G504" s="51"/>
      <c r="H504" s="62"/>
      <c r="I504" s="67"/>
      <c r="K504" s="45"/>
      <c r="L504" s="45"/>
      <c r="M504" s="45"/>
      <c r="N504" s="45"/>
    </row>
    <row r="505" spans="1:14" s="6" customFormat="1" ht="12.75">
      <c r="A505" s="59"/>
      <c r="B505" s="6" t="s">
        <v>542</v>
      </c>
      <c r="D505" s="9"/>
      <c r="E505" s="70">
        <v>10954.12</v>
      </c>
      <c r="F505" s="51"/>
      <c r="G505" s="51"/>
      <c r="H505" s="62"/>
      <c r="I505" s="67"/>
      <c r="K505" s="45"/>
      <c r="L505" s="45"/>
      <c r="M505" s="45"/>
      <c r="N505" s="45"/>
    </row>
    <row r="506" spans="1:14" s="6" customFormat="1" ht="12.75">
      <c r="A506" s="59"/>
      <c r="B506" s="6" t="s">
        <v>543</v>
      </c>
      <c r="D506" s="9"/>
      <c r="E506" s="70">
        <v>2564.21</v>
      </c>
      <c r="F506" s="51"/>
      <c r="G506" s="51"/>
      <c r="H506" s="62"/>
      <c r="I506" s="67"/>
      <c r="K506" s="45"/>
      <c r="L506" s="45"/>
      <c r="M506" s="45"/>
      <c r="N506" s="45"/>
    </row>
    <row r="507" spans="1:14" s="6" customFormat="1" ht="12.75">
      <c r="A507" s="59"/>
      <c r="B507" s="28" t="s">
        <v>544</v>
      </c>
      <c r="D507" s="9"/>
      <c r="E507" s="70">
        <v>5060</v>
      </c>
      <c r="F507" s="51"/>
      <c r="G507" s="51"/>
      <c r="H507" s="62"/>
      <c r="I507" s="67"/>
      <c r="K507" s="45"/>
      <c r="L507" s="45"/>
      <c r="M507" s="45"/>
      <c r="N507" s="45"/>
    </row>
    <row r="508" spans="1:14" s="6" customFormat="1" ht="12.75">
      <c r="A508" s="59"/>
      <c r="B508" s="6" t="s">
        <v>321</v>
      </c>
      <c r="D508" s="9"/>
      <c r="F508" s="51"/>
      <c r="G508" s="51"/>
      <c r="H508" s="62"/>
      <c r="I508" s="67"/>
      <c r="K508" s="45"/>
      <c r="L508" s="45"/>
      <c r="M508" s="45"/>
      <c r="N508" s="45"/>
    </row>
    <row r="509" spans="1:14" s="6" customFormat="1" ht="12.75">
      <c r="A509" s="59"/>
      <c r="B509" s="6" t="s">
        <v>270</v>
      </c>
      <c r="D509" s="9"/>
      <c r="F509" s="51">
        <v>66245</v>
      </c>
      <c r="G509" s="51">
        <v>49683.75</v>
      </c>
      <c r="H509" s="62">
        <f aca="true" t="shared" si="8" ref="H509:H514">G509/F509</f>
        <v>0.75</v>
      </c>
      <c r="I509" s="67">
        <f>G509/G$729</f>
        <v>0.0015636191115885542</v>
      </c>
      <c r="K509" s="45"/>
      <c r="L509" s="45"/>
      <c r="M509" s="45"/>
      <c r="N509" s="45"/>
    </row>
    <row r="510" spans="1:14" s="6" customFormat="1" ht="12.75">
      <c r="A510" s="59"/>
      <c r="B510" s="6" t="s">
        <v>722</v>
      </c>
      <c r="D510" s="9"/>
      <c r="F510" s="51">
        <v>5760</v>
      </c>
      <c r="G510" s="51">
        <v>5760</v>
      </c>
      <c r="H510" s="62">
        <f t="shared" si="8"/>
        <v>1</v>
      </c>
      <c r="I510" s="67">
        <f>G510/G$729</f>
        <v>0.0001812754891237089</v>
      </c>
      <c r="K510" s="45"/>
      <c r="L510" s="45"/>
      <c r="M510" s="45"/>
      <c r="N510" s="45"/>
    </row>
    <row r="511" spans="1:14" s="6" customFormat="1" ht="12.75">
      <c r="A511" s="59"/>
      <c r="B511" s="6" t="s">
        <v>0</v>
      </c>
      <c r="D511" s="9"/>
      <c r="F511" s="51">
        <f>10752-5760</f>
        <v>4992</v>
      </c>
      <c r="G511" s="51">
        <v>4492</v>
      </c>
      <c r="H511" s="62">
        <f t="shared" si="8"/>
        <v>0.8998397435897436</v>
      </c>
      <c r="I511" s="67">
        <f>G511/G$729</f>
        <v>0.00014136970436522575</v>
      </c>
      <c r="K511" s="45"/>
      <c r="L511" s="45"/>
      <c r="M511" s="45"/>
      <c r="N511" s="45"/>
    </row>
    <row r="512" spans="1:14" s="26" customFormat="1" ht="12.75">
      <c r="A512" s="76"/>
      <c r="B512" s="26" t="s">
        <v>369</v>
      </c>
      <c r="D512" s="27"/>
      <c r="F512" s="48">
        <v>107920</v>
      </c>
      <c r="G512" s="48">
        <v>100390</v>
      </c>
      <c r="H512" s="68">
        <f t="shared" si="8"/>
        <v>0.9302260934025204</v>
      </c>
      <c r="I512" s="69">
        <f>G512/G$729</f>
        <v>0.003159417769640475</v>
      </c>
      <c r="K512" s="94"/>
      <c r="L512" s="94"/>
      <c r="M512" s="94"/>
      <c r="N512" s="94"/>
    </row>
    <row r="513" spans="1:14" s="26" customFormat="1" ht="12.75">
      <c r="A513" s="76"/>
      <c r="B513" s="26" t="s">
        <v>370</v>
      </c>
      <c r="D513" s="27"/>
      <c r="F513" s="48">
        <v>25589.03</v>
      </c>
      <c r="G513" s="48">
        <v>23421.43</v>
      </c>
      <c r="H513" s="68">
        <f t="shared" si="8"/>
        <v>0.9152918262239718</v>
      </c>
      <c r="I513" s="69">
        <f>G513/G$729</f>
        <v>0.000737106107504637</v>
      </c>
      <c r="K513" s="94"/>
      <c r="L513" s="94"/>
      <c r="M513" s="94"/>
      <c r="N513" s="94"/>
    </row>
    <row r="514" spans="1:14" s="26" customFormat="1" ht="12.75">
      <c r="A514" s="76"/>
      <c r="B514" s="26" t="s">
        <v>371</v>
      </c>
      <c r="D514" s="27"/>
      <c r="F514" s="48">
        <v>1000</v>
      </c>
      <c r="G514" s="48">
        <v>853.05</v>
      </c>
      <c r="H514" s="68">
        <f t="shared" si="8"/>
        <v>0.85305</v>
      </c>
      <c r="I514" s="69">
        <f>G514/G$729</f>
        <v>2.6846711110586784E-05</v>
      </c>
      <c r="J514" s="94"/>
      <c r="K514" s="94"/>
      <c r="L514" s="94"/>
      <c r="M514" s="94"/>
      <c r="N514" s="94"/>
    </row>
    <row r="515" spans="1:14" s="26" customFormat="1" ht="12.75">
      <c r="A515" s="76"/>
      <c r="B515" s="26" t="s">
        <v>372</v>
      </c>
      <c r="D515" s="27"/>
      <c r="F515" s="48"/>
      <c r="G515" s="48"/>
      <c r="H515" s="68"/>
      <c r="I515" s="69"/>
      <c r="K515" s="94"/>
      <c r="L515" s="94"/>
      <c r="M515" s="94"/>
      <c r="N515" s="94"/>
    </row>
    <row r="516" spans="1:14" s="26" customFormat="1" ht="12.75">
      <c r="A516" s="76"/>
      <c r="B516" s="26" t="s">
        <v>283</v>
      </c>
      <c r="D516" s="27"/>
      <c r="F516" s="48">
        <v>1320</v>
      </c>
      <c r="G516" s="48">
        <v>1000</v>
      </c>
      <c r="H516" s="68">
        <f>G516/F516</f>
        <v>0.7575757575757576</v>
      </c>
      <c r="I516" s="69">
        <f>G516/G$729</f>
        <v>3.147143908397724E-05</v>
      </c>
      <c r="K516" s="94"/>
      <c r="L516" s="94"/>
      <c r="M516" s="94"/>
      <c r="N516" s="94"/>
    </row>
    <row r="517" spans="1:14" s="26" customFormat="1" ht="12.75">
      <c r="A517" s="76"/>
      <c r="B517" s="26" t="s">
        <v>545</v>
      </c>
      <c r="D517" s="27"/>
      <c r="F517" s="48">
        <v>15000</v>
      </c>
      <c r="G517" s="48">
        <v>15000</v>
      </c>
      <c r="H517" s="68">
        <f>G517/F517</f>
        <v>1</v>
      </c>
      <c r="I517" s="69">
        <f>G517/G$729</f>
        <v>0.00047207158625965856</v>
      </c>
      <c r="K517" s="94"/>
      <c r="L517" s="94"/>
      <c r="M517" s="94"/>
      <c r="N517" s="94"/>
    </row>
    <row r="518" spans="1:14" s="26" customFormat="1" ht="12.75">
      <c r="A518" s="76"/>
      <c r="B518" s="26" t="s">
        <v>546</v>
      </c>
      <c r="D518" s="27"/>
      <c r="F518" s="48"/>
      <c r="G518" s="48"/>
      <c r="H518" s="68"/>
      <c r="I518" s="69"/>
      <c r="K518" s="94"/>
      <c r="L518" s="94"/>
      <c r="M518" s="94"/>
      <c r="N518" s="94"/>
    </row>
    <row r="519" spans="1:14" s="26" customFormat="1" ht="12.75">
      <c r="A519" s="76"/>
      <c r="B519" s="26" t="s">
        <v>547</v>
      </c>
      <c r="D519" s="27"/>
      <c r="F519" s="48">
        <v>102142</v>
      </c>
      <c r="G519" s="48">
        <v>51695.2</v>
      </c>
      <c r="H519" s="68">
        <f>G519/F519</f>
        <v>0.5061111002330089</v>
      </c>
      <c r="I519" s="69">
        <f>G519/G$729</f>
        <v>0.00162692233773402</v>
      </c>
      <c r="K519" s="94"/>
      <c r="L519" s="94"/>
      <c r="M519" s="94"/>
      <c r="N519" s="94"/>
    </row>
    <row r="520" spans="1:14" s="26" customFormat="1" ht="12.75">
      <c r="A520" s="76"/>
      <c r="B520" s="26" t="s">
        <v>2</v>
      </c>
      <c r="D520" s="27"/>
      <c r="F520" s="48">
        <v>920</v>
      </c>
      <c r="G520" s="48">
        <v>916.29</v>
      </c>
      <c r="H520" s="68">
        <f>G520/F520</f>
        <v>0.9959673913043477</v>
      </c>
      <c r="I520" s="69">
        <f>G520/G$729</f>
        <v>2.88369649182575E-05</v>
      </c>
      <c r="K520" s="94"/>
      <c r="L520" s="94"/>
      <c r="M520" s="94"/>
      <c r="N520" s="94"/>
    </row>
    <row r="521" spans="1:14" s="26" customFormat="1" ht="12.75">
      <c r="A521" s="76"/>
      <c r="B521" s="26" t="s">
        <v>3</v>
      </c>
      <c r="D521" s="27"/>
      <c r="F521" s="48"/>
      <c r="G521" s="48"/>
      <c r="H521" s="62"/>
      <c r="I521" s="67"/>
      <c r="K521" s="94"/>
      <c r="L521" s="94"/>
      <c r="M521" s="94"/>
      <c r="N521" s="94"/>
    </row>
    <row r="522" spans="1:14" s="26" customFormat="1" ht="12.75">
      <c r="A522" s="76"/>
      <c r="B522" s="26" t="s">
        <v>274</v>
      </c>
      <c r="D522" s="27"/>
      <c r="F522" s="48">
        <v>39460</v>
      </c>
      <c r="G522" s="48">
        <v>39460</v>
      </c>
      <c r="H522" s="68">
        <f>G522/F522</f>
        <v>1</v>
      </c>
      <c r="I522" s="69">
        <f>G522/G$729</f>
        <v>0.001241862986253742</v>
      </c>
      <c r="K522" s="94"/>
      <c r="L522" s="94"/>
      <c r="M522" s="94"/>
      <c r="N522" s="94"/>
    </row>
    <row r="523" spans="1:14" s="26" customFormat="1" ht="12.75">
      <c r="A523" s="76"/>
      <c r="B523" s="26" t="s">
        <v>4</v>
      </c>
      <c r="D523" s="27"/>
      <c r="F523" s="48">
        <v>0</v>
      </c>
      <c r="G523" s="48">
        <v>0</v>
      </c>
      <c r="H523" s="68"/>
      <c r="I523" s="69">
        <f>G523/G$729</f>
        <v>0</v>
      </c>
      <c r="K523" s="94"/>
      <c r="L523" s="94"/>
      <c r="M523" s="94"/>
      <c r="N523" s="94"/>
    </row>
    <row r="524" spans="1:14" s="16" customFormat="1" ht="12.75">
      <c r="A524" s="75" t="s">
        <v>208</v>
      </c>
      <c r="B524" s="16" t="s">
        <v>164</v>
      </c>
      <c r="D524" s="17"/>
      <c r="F524" s="50">
        <f>SUM(F525:F530)</f>
        <v>274500</v>
      </c>
      <c r="G524" s="50">
        <f>SUM(G525:G530)</f>
        <v>255994.95</v>
      </c>
      <c r="H524" s="89">
        <f>G524/F524</f>
        <v>0.9325863387978143</v>
      </c>
      <c r="I524" s="99">
        <f>G524/G$729</f>
        <v>0.0080565294747308</v>
      </c>
      <c r="J524" s="44"/>
      <c r="K524" s="44"/>
      <c r="L524" s="44"/>
      <c r="M524" s="44"/>
      <c r="N524" s="44"/>
    </row>
    <row r="525" spans="1:14" s="63" customFormat="1" ht="12.75">
      <c r="A525" s="59"/>
      <c r="B525" s="6" t="s">
        <v>421</v>
      </c>
      <c r="C525" s="6"/>
      <c r="D525" s="9"/>
      <c r="E525" s="6"/>
      <c r="F525" s="51">
        <v>20000</v>
      </c>
      <c r="G525" s="51">
        <v>18167.64</v>
      </c>
      <c r="H525" s="62">
        <f>G525/F525</f>
        <v>0.908382</v>
      </c>
      <c r="I525" s="67">
        <f>G525/G$729</f>
        <v>0.0005717617755596282</v>
      </c>
      <c r="K525" s="42"/>
      <c r="L525" s="42"/>
      <c r="M525" s="42"/>
      <c r="N525" s="42"/>
    </row>
    <row r="526" spans="2:9" ht="12.75">
      <c r="B526" t="s">
        <v>422</v>
      </c>
      <c r="F526" s="47"/>
      <c r="G526" s="47"/>
      <c r="I526" s="67"/>
    </row>
    <row r="527" spans="2:9" ht="12.75">
      <c r="B527" t="s">
        <v>355</v>
      </c>
      <c r="F527" s="49">
        <f>220000-50000</f>
        <v>170000</v>
      </c>
      <c r="G527" s="49">
        <v>153327.31</v>
      </c>
      <c r="H527" s="62">
        <f>G527/F527</f>
        <v>0.9019253529411765</v>
      </c>
      <c r="I527" s="67">
        <f>G527/G$729</f>
        <v>0.004825431096575094</v>
      </c>
    </row>
    <row r="528" spans="2:9" ht="12.75">
      <c r="B528" t="s">
        <v>548</v>
      </c>
      <c r="F528" s="49"/>
      <c r="G528" s="49"/>
      <c r="I528" s="67"/>
    </row>
    <row r="529" spans="2:9" ht="12.75">
      <c r="B529" t="s">
        <v>549</v>
      </c>
      <c r="F529" s="49">
        <v>80000</v>
      </c>
      <c r="G529" s="49">
        <v>80000</v>
      </c>
      <c r="H529" s="62">
        <f>G529/F529</f>
        <v>1</v>
      </c>
      <c r="I529" s="67">
        <f>G529/G$729</f>
        <v>0.002517715126718179</v>
      </c>
    </row>
    <row r="530" spans="2:9" ht="12.75">
      <c r="B530" t="s">
        <v>550</v>
      </c>
      <c r="F530" s="49">
        <v>4500</v>
      </c>
      <c r="G530" s="49">
        <v>4500</v>
      </c>
      <c r="H530" s="62">
        <f>G530/F530</f>
        <v>1</v>
      </c>
      <c r="I530" s="67">
        <f>G530/G$729</f>
        <v>0.00014162147587789759</v>
      </c>
    </row>
    <row r="531" spans="6:9" ht="12.75">
      <c r="F531" s="47"/>
      <c r="G531" s="47"/>
      <c r="I531" s="67"/>
    </row>
    <row r="532" spans="1:14" s="2" customFormat="1" ht="12.75">
      <c r="A532" s="75" t="s">
        <v>334</v>
      </c>
      <c r="B532" s="2" t="s">
        <v>337</v>
      </c>
      <c r="D532" s="8"/>
      <c r="F532" s="46">
        <f>SUM(F534:F554)</f>
        <v>2994706</v>
      </c>
      <c r="G532" s="46">
        <f>SUM(G534:G554)</f>
        <v>2631079.6</v>
      </c>
      <c r="H532" s="62">
        <f>G532/F532</f>
        <v>0.8785769287536073</v>
      </c>
      <c r="I532" s="67">
        <f>G532/G$729</f>
        <v>0.0828038613564952</v>
      </c>
      <c r="K532" s="93"/>
      <c r="L532" s="93"/>
      <c r="M532" s="93"/>
      <c r="N532" s="93"/>
    </row>
    <row r="533" spans="1:14" s="15" customFormat="1" ht="12.75">
      <c r="A533" s="59"/>
      <c r="B533" s="28" t="s">
        <v>423</v>
      </c>
      <c r="D533" s="20"/>
      <c r="F533" s="49"/>
      <c r="G533" s="49"/>
      <c r="H533" s="62"/>
      <c r="I533" s="67"/>
      <c r="K533" s="52"/>
      <c r="L533" s="52"/>
      <c r="M533" s="52"/>
      <c r="N533" s="52"/>
    </row>
    <row r="534" spans="1:14" s="15" customFormat="1" ht="12.75">
      <c r="A534" s="59"/>
      <c r="B534" s="28" t="s">
        <v>389</v>
      </c>
      <c r="D534" s="20"/>
      <c r="F534" s="49">
        <v>1284051</v>
      </c>
      <c r="G534" s="49">
        <v>1107007.55</v>
      </c>
      <c r="H534" s="62">
        <f>G534/F534</f>
        <v>0.8621211696420158</v>
      </c>
      <c r="I534" s="67">
        <f>G534/G$729</f>
        <v>0.03483912067532789</v>
      </c>
      <c r="K534" s="52"/>
      <c r="L534" s="52"/>
      <c r="M534" s="52"/>
      <c r="N534" s="52"/>
    </row>
    <row r="535" spans="1:14" s="15" customFormat="1" ht="12.75">
      <c r="A535" s="59"/>
      <c r="B535" s="15" t="s">
        <v>161</v>
      </c>
      <c r="D535" s="20"/>
      <c r="E535" s="73" t="s">
        <v>263</v>
      </c>
      <c r="F535" s="49"/>
      <c r="G535" s="49"/>
      <c r="H535" s="62"/>
      <c r="I535" s="67"/>
      <c r="K535" s="52"/>
      <c r="L535" s="52"/>
      <c r="M535" s="52"/>
      <c r="N535" s="52"/>
    </row>
    <row r="536" spans="1:14" s="15" customFormat="1" ht="12.75">
      <c r="A536" s="59"/>
      <c r="B536" s="15" t="s">
        <v>356</v>
      </c>
      <c r="D536" s="20"/>
      <c r="E536" s="72">
        <v>695711.5</v>
      </c>
      <c r="F536" s="49"/>
      <c r="G536" s="49"/>
      <c r="H536" s="62"/>
      <c r="I536" s="67"/>
      <c r="K536" s="52"/>
      <c r="L536" s="52"/>
      <c r="M536" s="52"/>
      <c r="N536" s="52"/>
    </row>
    <row r="537" spans="1:14" s="15" customFormat="1" ht="12.75">
      <c r="A537" s="59"/>
      <c r="B537" s="15" t="s">
        <v>390</v>
      </c>
      <c r="D537" s="20"/>
      <c r="E537" s="72">
        <v>188391</v>
      </c>
      <c r="F537" s="49"/>
      <c r="G537" s="49"/>
      <c r="H537" s="62"/>
      <c r="I537" s="67"/>
      <c r="K537" s="52"/>
      <c r="L537" s="52"/>
      <c r="M537" s="52"/>
      <c r="N537" s="52"/>
    </row>
    <row r="538" spans="1:14" s="15" customFormat="1" ht="12.75">
      <c r="A538" s="59"/>
      <c r="B538" s="15" t="s">
        <v>391</v>
      </c>
      <c r="D538" s="20"/>
      <c r="E538" s="72">
        <v>128532.61</v>
      </c>
      <c r="F538" s="49"/>
      <c r="G538" s="49"/>
      <c r="H538" s="62"/>
      <c r="I538" s="67"/>
      <c r="K538" s="52"/>
      <c r="L538" s="52"/>
      <c r="M538" s="52"/>
      <c r="N538" s="52"/>
    </row>
    <row r="539" spans="1:14" s="15" customFormat="1" ht="12.75">
      <c r="A539" s="59"/>
      <c r="B539" s="28" t="s">
        <v>399</v>
      </c>
      <c r="D539" s="20"/>
      <c r="E539" s="72">
        <v>4963.26</v>
      </c>
      <c r="F539" s="49"/>
      <c r="G539" s="49"/>
      <c r="H539" s="62"/>
      <c r="I539" s="67"/>
      <c r="K539" s="52"/>
      <c r="L539" s="52"/>
      <c r="M539" s="52"/>
      <c r="N539" s="52"/>
    </row>
    <row r="540" spans="1:14" s="15" customFormat="1" ht="12.75">
      <c r="A540" s="59"/>
      <c r="B540" s="15" t="s">
        <v>400</v>
      </c>
      <c r="D540" s="20"/>
      <c r="E540" s="72"/>
      <c r="F540" s="49"/>
      <c r="G540" s="49"/>
      <c r="H540" s="62"/>
      <c r="I540" s="67"/>
      <c r="K540" s="52"/>
      <c r="L540" s="52"/>
      <c r="M540" s="52"/>
      <c r="N540" s="52"/>
    </row>
    <row r="541" spans="1:14" s="15" customFormat="1" ht="12.75">
      <c r="A541" s="59"/>
      <c r="B541" s="28" t="s">
        <v>392</v>
      </c>
      <c r="D541" s="20"/>
      <c r="E541" s="72">
        <f>40971.58+2878.9+12123.09-4963.26+989.36+10886.64+3910.08+1880.3+15056.56+1610+867.83+3198.1</f>
        <v>89409.18000000001</v>
      </c>
      <c r="F541" s="49"/>
      <c r="G541" s="49"/>
      <c r="H541" s="62"/>
      <c r="I541" s="67"/>
      <c r="K541" s="52"/>
      <c r="L541" s="52"/>
      <c r="M541" s="52"/>
      <c r="N541" s="52"/>
    </row>
    <row r="542" spans="1:14" s="15" customFormat="1" ht="12.75">
      <c r="A542" s="59"/>
      <c r="B542" s="28" t="s">
        <v>5</v>
      </c>
      <c r="D542" s="20"/>
      <c r="E542" s="20"/>
      <c r="F542" s="49"/>
      <c r="G542" s="49"/>
      <c r="H542" s="62"/>
      <c r="I542" s="67"/>
      <c r="K542" s="52"/>
      <c r="L542" s="52"/>
      <c r="M542" s="52"/>
      <c r="N542" s="52"/>
    </row>
    <row r="543" spans="1:14" s="15" customFormat="1" ht="12.75">
      <c r="A543" s="59"/>
      <c r="B543" s="15" t="s">
        <v>348</v>
      </c>
      <c r="D543" s="20"/>
      <c r="F543" s="49">
        <v>13000</v>
      </c>
      <c r="G543" s="49">
        <v>11893.93</v>
      </c>
      <c r="H543" s="62">
        <f aca="true" t="shared" si="9" ref="H543:H551">G543/F543</f>
        <v>0.9149176923076924</v>
      </c>
      <c r="I543" s="67">
        <f>G543/G$729</f>
        <v>0.0003743190934640894</v>
      </c>
      <c r="K543" s="52"/>
      <c r="L543" s="52"/>
      <c r="M543" s="52"/>
      <c r="N543" s="52"/>
    </row>
    <row r="544" spans="2:9" ht="12.75">
      <c r="B544" t="s">
        <v>349</v>
      </c>
      <c r="F544" s="47">
        <f>134065+1000</f>
        <v>135065</v>
      </c>
      <c r="G544" s="47">
        <v>132266.33</v>
      </c>
      <c r="H544" s="62">
        <f t="shared" si="9"/>
        <v>0.9792790878465922</v>
      </c>
      <c r="I544" s="67">
        <f>G544/G$729</f>
        <v>0.004162611747456231</v>
      </c>
    </row>
    <row r="545" spans="2:9" ht="12.75">
      <c r="B545" t="s">
        <v>350</v>
      </c>
      <c r="F545" s="47">
        <v>125000</v>
      </c>
      <c r="G545" s="47">
        <v>120896.6</v>
      </c>
      <c r="H545" s="62">
        <f t="shared" si="9"/>
        <v>0.9671728</v>
      </c>
      <c r="I545" s="67">
        <f>G545/G$729</f>
        <v>0.0038047899823599627</v>
      </c>
    </row>
    <row r="546" spans="2:9" ht="12.75">
      <c r="B546" t="s">
        <v>723</v>
      </c>
      <c r="F546" s="47">
        <f>125000+1500</f>
        <v>126500</v>
      </c>
      <c r="G546" s="47">
        <f>85431.48+1306.62</f>
        <v>86738.09999999999</v>
      </c>
      <c r="H546" s="62">
        <f t="shared" si="9"/>
        <v>0.6856766798418972</v>
      </c>
      <c r="I546" s="67">
        <f>G546/G$729</f>
        <v>0.002729772830409926</v>
      </c>
    </row>
    <row r="547" spans="2:9" ht="12.75">
      <c r="B547" t="s">
        <v>373</v>
      </c>
      <c r="F547" s="47">
        <v>18000</v>
      </c>
      <c r="G547" s="47">
        <v>16673.99</v>
      </c>
      <c r="H547" s="62">
        <f t="shared" si="9"/>
        <v>0.9263327777777779</v>
      </c>
      <c r="I547" s="67">
        <f>G547/G$729</f>
        <v>0.0005247544605718457</v>
      </c>
    </row>
    <row r="548" spans="2:9" ht="12.75">
      <c r="B548" t="s">
        <v>380</v>
      </c>
      <c r="F548" s="47">
        <v>198000</v>
      </c>
      <c r="G548" s="47">
        <v>137594.69</v>
      </c>
      <c r="H548" s="62">
        <f t="shared" si="9"/>
        <v>0.6949226767676768</v>
      </c>
      <c r="I548" s="67">
        <f>G548/G$729</f>
        <v>0.004330302904613732</v>
      </c>
    </row>
    <row r="549" spans="2:9" ht="12.75">
      <c r="B549" t="s">
        <v>381</v>
      </c>
      <c r="F549" s="47">
        <v>592140</v>
      </c>
      <c r="G549" s="47">
        <v>555846.66</v>
      </c>
      <c r="H549" s="62">
        <f t="shared" si="9"/>
        <v>0.9387081771202757</v>
      </c>
      <c r="I549" s="67">
        <f>G549/G$729</f>
        <v>0.017493294300222208</v>
      </c>
    </row>
    <row r="550" spans="2:9" ht="12.75">
      <c r="B550" t="s">
        <v>382</v>
      </c>
      <c r="F550" s="47">
        <v>270950</v>
      </c>
      <c r="G550" s="47">
        <v>255089.87</v>
      </c>
      <c r="H550" s="62">
        <f t="shared" si="9"/>
        <v>0.9414647351909946</v>
      </c>
      <c r="I550" s="67">
        <f>G550/G$729</f>
        <v>0.008028045304644673</v>
      </c>
    </row>
    <row r="551" spans="2:9" ht="12.75">
      <c r="B551" t="s">
        <v>383</v>
      </c>
      <c r="F551" s="47">
        <v>200000</v>
      </c>
      <c r="G551" s="47">
        <f>192071.88-8716.64</f>
        <v>183355.24</v>
      </c>
      <c r="H551" s="62">
        <f t="shared" si="9"/>
        <v>0.9167761999999999</v>
      </c>
      <c r="I551" s="67">
        <f>G551/G$729</f>
        <v>0.005770453266388026</v>
      </c>
    </row>
    <row r="552" spans="2:9" ht="12.75">
      <c r="B552" t="s">
        <v>6</v>
      </c>
      <c r="F552" s="47">
        <v>17000</v>
      </c>
      <c r="G552" s="47">
        <v>8716.64</v>
      </c>
      <c r="H552" s="62">
        <f>G552/F552</f>
        <v>0.5127435294117647</v>
      </c>
      <c r="I552" s="67">
        <f>G552/G$729</f>
        <v>0.00027432520477695935</v>
      </c>
    </row>
    <row r="553" spans="2:9" ht="12.75">
      <c r="B553" t="s">
        <v>7</v>
      </c>
      <c r="F553" s="47"/>
      <c r="G553" s="47"/>
      <c r="I553" s="67"/>
    </row>
    <row r="554" spans="2:9" ht="12.75">
      <c r="B554" t="s">
        <v>8</v>
      </c>
      <c r="F554" s="47">
        <v>15000</v>
      </c>
      <c r="G554" s="47">
        <v>15000</v>
      </c>
      <c r="H554" s="62">
        <f>G554/F554</f>
        <v>1</v>
      </c>
      <c r="I554" s="67">
        <f>G554/G$729</f>
        <v>0.00047207158625965856</v>
      </c>
    </row>
    <row r="555" spans="6:9" ht="12.75">
      <c r="F555" s="47"/>
      <c r="G555" s="47"/>
      <c r="I555" s="67"/>
    </row>
    <row r="556" spans="1:14" s="16" customFormat="1" ht="12.75">
      <c r="A556" s="75" t="s">
        <v>189</v>
      </c>
      <c r="B556" s="16" t="s">
        <v>190</v>
      </c>
      <c r="D556" s="17"/>
      <c r="F556" s="50">
        <f>SUM(F557:F567)</f>
        <v>319999</v>
      </c>
      <c r="G556" s="50">
        <f>SUM(G557:G567)</f>
        <v>237171.17999999996</v>
      </c>
      <c r="H556" s="62">
        <f>G556/F556</f>
        <v>0.7411622536320425</v>
      </c>
      <c r="I556" s="67">
        <f>G556/G$729</f>
        <v>0.007464118343845</v>
      </c>
      <c r="K556" s="44"/>
      <c r="L556" s="44"/>
      <c r="M556" s="44"/>
      <c r="N556" s="44"/>
    </row>
    <row r="557" spans="1:14" s="15" customFormat="1" ht="12.75">
      <c r="A557" s="59"/>
      <c r="B557" s="15" t="s">
        <v>209</v>
      </c>
      <c r="D557" s="20"/>
      <c r="F557" s="49">
        <v>165770</v>
      </c>
      <c r="G557" s="49">
        <v>160194.81</v>
      </c>
      <c r="H557" s="62">
        <f>G557/F557</f>
        <v>0.9663679194064064</v>
      </c>
      <c r="I557" s="67">
        <f>G557/G$729</f>
        <v>0.005041561204484308</v>
      </c>
      <c r="K557" s="52"/>
      <c r="L557" s="52"/>
      <c r="M557" s="52"/>
      <c r="N557" s="52"/>
    </row>
    <row r="558" spans="2:9" ht="12.75">
      <c r="B558" t="s">
        <v>424</v>
      </c>
      <c r="F558" s="47">
        <v>34031</v>
      </c>
      <c r="G558" s="47">
        <v>33381.71</v>
      </c>
      <c r="H558" s="62">
        <f>G558/F558</f>
        <v>0.9809206311892098</v>
      </c>
      <c r="I558" s="67">
        <f>G558/G$729</f>
        <v>0.0010505704527839937</v>
      </c>
    </row>
    <row r="559" spans="2:9" ht="12.75">
      <c r="B559" t="s">
        <v>161</v>
      </c>
      <c r="D559" s="3"/>
      <c r="F559" s="47"/>
      <c r="G559" s="47"/>
      <c r="I559" s="67"/>
    </row>
    <row r="560" spans="2:9" ht="12.75">
      <c r="B560" t="s">
        <v>162</v>
      </c>
      <c r="D560" s="70">
        <f>17593.16+430.76</f>
        <v>18023.92</v>
      </c>
      <c r="F560" s="47"/>
      <c r="G560" s="47"/>
      <c r="I560" s="67"/>
    </row>
    <row r="561" spans="2:9" ht="12.75">
      <c r="B561" t="s">
        <v>163</v>
      </c>
      <c r="D561" s="70">
        <f>1200+151.84+902.89+159.5</f>
        <v>2414.23</v>
      </c>
      <c r="F561" s="47"/>
      <c r="G561" s="47"/>
      <c r="I561" s="67"/>
    </row>
    <row r="562" spans="2:9" ht="12.75">
      <c r="B562" t="s">
        <v>255</v>
      </c>
      <c r="D562" s="70">
        <f>4583+790+113+1161+4797.23+1499.33</f>
        <v>12943.56</v>
      </c>
      <c r="E562" s="4"/>
      <c r="F562" s="47"/>
      <c r="G562" s="47"/>
      <c r="I562" s="67"/>
    </row>
    <row r="563" spans="2:9" ht="12.75">
      <c r="B563" t="s">
        <v>374</v>
      </c>
      <c r="E563" s="4"/>
      <c r="F563" s="47">
        <v>113562</v>
      </c>
      <c r="G563" s="47">
        <v>39923.2</v>
      </c>
      <c r="H563" s="62">
        <f>G563/F563</f>
        <v>0.3515542170796569</v>
      </c>
      <c r="I563" s="67">
        <f>G563/G$729</f>
        <v>0.00125644055683744</v>
      </c>
    </row>
    <row r="564" spans="2:9" ht="12.75">
      <c r="B564" t="s">
        <v>9</v>
      </c>
      <c r="E564" s="4"/>
      <c r="F564" s="47">
        <v>4028</v>
      </c>
      <c r="G564" s="47">
        <v>2165.46</v>
      </c>
      <c r="H564" s="62">
        <f>G564/F564</f>
        <v>0.5376017874875869</v>
      </c>
      <c r="I564" s="67">
        <f>G564/G$729</f>
        <v>6.815014247878935E-05</v>
      </c>
    </row>
    <row r="565" spans="2:9" ht="12.75">
      <c r="B565" t="s">
        <v>10</v>
      </c>
      <c r="F565" s="47">
        <v>1118</v>
      </c>
      <c r="G565" s="47">
        <v>16</v>
      </c>
      <c r="H565" s="62">
        <f>G565/F565</f>
        <v>0.014311270125223614</v>
      </c>
      <c r="I565" s="67">
        <f>G565/G$729</f>
        <v>5.035430253436358E-07</v>
      </c>
    </row>
    <row r="566" spans="2:9" ht="12.75">
      <c r="B566" s="15" t="s">
        <v>11</v>
      </c>
      <c r="F566" s="47"/>
      <c r="G566" s="47"/>
      <c r="I566" s="67"/>
    </row>
    <row r="567" spans="2:9" ht="12.75">
      <c r="B567" s="15" t="s">
        <v>274</v>
      </c>
      <c r="F567" s="47">
        <v>1490</v>
      </c>
      <c r="G567" s="47">
        <v>1490</v>
      </c>
      <c r="H567" s="62">
        <f>G567/F567</f>
        <v>1</v>
      </c>
      <c r="I567" s="67">
        <f>G567/G$729</f>
        <v>4.6892444235126086E-05</v>
      </c>
    </row>
    <row r="568" spans="2:9" ht="12.75">
      <c r="B568" s="15"/>
      <c r="F568" s="47"/>
      <c r="G568" s="47"/>
      <c r="I568" s="67"/>
    </row>
    <row r="569" spans="1:14" s="2" customFormat="1" ht="12.75">
      <c r="A569" s="75" t="s">
        <v>191</v>
      </c>
      <c r="B569" s="2" t="s">
        <v>210</v>
      </c>
      <c r="D569" s="8"/>
      <c r="F569" s="46">
        <f>SUM(F570:F584)</f>
        <v>1756200</v>
      </c>
      <c r="G569" s="46">
        <f>SUM(G570:G584)</f>
        <v>1595762.0199999996</v>
      </c>
      <c r="H569" s="62">
        <f aca="true" t="shared" si="10" ref="H569:H574">G569/F569</f>
        <v>0.9086448126637054</v>
      </c>
      <c r="I569" s="67">
        <f>G569/G$729</f>
        <v>0.050220927204954455</v>
      </c>
      <c r="J569" s="93"/>
      <c r="K569" s="93"/>
      <c r="L569" s="93"/>
      <c r="M569" s="93"/>
      <c r="N569" s="93"/>
    </row>
    <row r="570" spans="1:14" s="31" customFormat="1" ht="12.75">
      <c r="A570" s="78"/>
      <c r="B570" s="31" t="s">
        <v>317</v>
      </c>
      <c r="D570" s="32"/>
      <c r="F570" s="54">
        <v>1015500</v>
      </c>
      <c r="G570" s="54">
        <v>965590.47</v>
      </c>
      <c r="H570" s="67">
        <f t="shared" si="10"/>
        <v>0.9508522599704579</v>
      </c>
      <c r="I570" s="67">
        <f>G570/G$729</f>
        <v>0.03038852165667395</v>
      </c>
      <c r="K570" s="97"/>
      <c r="L570" s="97"/>
      <c r="M570" s="97"/>
      <c r="N570" s="97"/>
    </row>
    <row r="571" spans="2:9" ht="12.75">
      <c r="B571" t="s">
        <v>318</v>
      </c>
      <c r="F571" s="47">
        <f>204100-50000</f>
        <v>154100</v>
      </c>
      <c r="G571" s="47">
        <v>126821.15</v>
      </c>
      <c r="H571" s="62">
        <f t="shared" si="10"/>
        <v>0.8229795587280986</v>
      </c>
      <c r="I571" s="67">
        <f>G571/G$729</f>
        <v>0.00399124409678494</v>
      </c>
    </row>
    <row r="572" spans="2:9" ht="12.75">
      <c r="B572" t="s">
        <v>12</v>
      </c>
      <c r="F572" s="47">
        <v>6000</v>
      </c>
      <c r="G572" s="47">
        <v>2426.01</v>
      </c>
      <c r="H572" s="62">
        <f>G572/F572</f>
        <v>0.40433500000000006</v>
      </c>
      <c r="I572" s="67">
        <f>G572/G$729</f>
        <v>7.635002593211962E-05</v>
      </c>
    </row>
    <row r="573" spans="2:9" ht="12.75">
      <c r="B573" t="s">
        <v>319</v>
      </c>
      <c r="F573" s="47">
        <v>227750</v>
      </c>
      <c r="G573" s="47">
        <v>227714.88</v>
      </c>
      <c r="H573" s="62">
        <f t="shared" si="10"/>
        <v>0.9998457958287597</v>
      </c>
      <c r="I573" s="67">
        <f>G573/G$729</f>
        <v>0.007166514974435187</v>
      </c>
    </row>
    <row r="574" spans="2:9" ht="12.75">
      <c r="B574" t="s">
        <v>425</v>
      </c>
      <c r="F574" s="47">
        <f>91700+7584.25</f>
        <v>99284.25</v>
      </c>
      <c r="G574" s="47">
        <f>91011+7584.25</f>
        <v>98595.25</v>
      </c>
      <c r="H574" s="62">
        <f t="shared" si="10"/>
        <v>0.9930603293070149</v>
      </c>
      <c r="I574" s="67">
        <f>G574/G$729</f>
        <v>0.003102934404344507</v>
      </c>
    </row>
    <row r="575" spans="2:9" ht="12.75">
      <c r="B575" t="s">
        <v>426</v>
      </c>
      <c r="F575" s="47">
        <v>17415.75</v>
      </c>
      <c r="G575" s="47">
        <v>12446.66</v>
      </c>
      <c r="H575" s="62">
        <f>G575/F575</f>
        <v>0.7146783802018288</v>
      </c>
      <c r="I575" s="67">
        <f>G575/G$729</f>
        <v>0.0003917143019889761</v>
      </c>
    </row>
    <row r="576" spans="2:9" ht="13.5" customHeight="1">
      <c r="B576" s="15" t="s">
        <v>427</v>
      </c>
      <c r="F576" s="47"/>
      <c r="G576" s="47"/>
      <c r="I576" s="67"/>
    </row>
    <row r="577" spans="2:9" ht="13.5" customHeight="1">
      <c r="B577" s="15" t="s">
        <v>724</v>
      </c>
      <c r="F577" s="47">
        <v>150000</v>
      </c>
      <c r="G577" s="47">
        <v>96253.7</v>
      </c>
      <c r="H577" s="62">
        <f>G577/F577</f>
        <v>0.6416913333333333</v>
      </c>
      <c r="I577" s="67">
        <f>G577/G$729</f>
        <v>0.0030292424561574197</v>
      </c>
    </row>
    <row r="578" spans="2:9" ht="13.5" customHeight="1">
      <c r="B578" s="15" t="s">
        <v>551</v>
      </c>
      <c r="F578" s="47"/>
      <c r="G578" s="47"/>
      <c r="I578" s="67"/>
    </row>
    <row r="579" spans="2:9" ht="13.5" customHeight="1">
      <c r="B579" s="15" t="s">
        <v>552</v>
      </c>
      <c r="F579" s="47">
        <v>25000</v>
      </c>
      <c r="G579" s="47">
        <v>24989.46</v>
      </c>
      <c r="H579" s="62">
        <f>G579/F579</f>
        <v>0.9995784</v>
      </c>
      <c r="I579" s="67">
        <f>G579/G$729</f>
        <v>0.0007864542681314858</v>
      </c>
    </row>
    <row r="580" spans="2:9" ht="13.5" customHeight="1">
      <c r="B580" s="15" t="s">
        <v>553</v>
      </c>
      <c r="F580" s="47"/>
      <c r="G580" s="47"/>
      <c r="I580" s="67"/>
    </row>
    <row r="581" spans="2:9" ht="13.5" customHeight="1">
      <c r="B581" s="15" t="s">
        <v>554</v>
      </c>
      <c r="F581" s="47">
        <v>0</v>
      </c>
      <c r="G581" s="47">
        <v>0</v>
      </c>
      <c r="I581" s="67">
        <f>G581/G$729</f>
        <v>0</v>
      </c>
    </row>
    <row r="582" spans="2:9" ht="12.75">
      <c r="B582" t="s">
        <v>555</v>
      </c>
      <c r="F582" s="47">
        <v>10650</v>
      </c>
      <c r="G582" s="47">
        <v>6124.4</v>
      </c>
      <c r="H582" s="62">
        <f>G582/F582</f>
        <v>0.5750610328638497</v>
      </c>
      <c r="I582" s="67">
        <f>G582/G$729</f>
        <v>0.0001927436815259102</v>
      </c>
    </row>
    <row r="583" spans="2:9" ht="12.75">
      <c r="B583" t="s">
        <v>556</v>
      </c>
      <c r="F583" s="47">
        <v>10000</v>
      </c>
      <c r="G583" s="47">
        <v>4477.79</v>
      </c>
      <c r="H583" s="62">
        <f>G583/F583</f>
        <v>0.447779</v>
      </c>
      <c r="I583" s="67">
        <f>G583/G$729</f>
        <v>0.00014092249521584243</v>
      </c>
    </row>
    <row r="584" spans="2:9" ht="12.75">
      <c r="B584" t="s">
        <v>557</v>
      </c>
      <c r="F584" s="47">
        <f>37500+3000</f>
        <v>40500</v>
      </c>
      <c r="G584" s="47">
        <v>30322.25</v>
      </c>
      <c r="H584" s="62">
        <f>G584/F584</f>
        <v>0.7486975308641975</v>
      </c>
      <c r="I584" s="67">
        <f>G584/G$729</f>
        <v>0.0009542848437641288</v>
      </c>
    </row>
    <row r="585" spans="1:14" s="2" customFormat="1" ht="12.75">
      <c r="A585" s="75" t="s">
        <v>215</v>
      </c>
      <c r="B585" s="2" t="s">
        <v>211</v>
      </c>
      <c r="D585" s="8"/>
      <c r="F585" s="46">
        <f>SUM(F586:F590)</f>
        <v>1058815</v>
      </c>
      <c r="G585" s="46">
        <f>SUM(G586:G590)</f>
        <v>1054112.1600000001</v>
      </c>
      <c r="H585" s="62">
        <f aca="true" t="shared" si="11" ref="H585:H592">G585/F585</f>
        <v>0.995558393109278</v>
      </c>
      <c r="I585" s="67">
        <f>G585/G$729</f>
        <v>0.03317442663111967</v>
      </c>
      <c r="J585" s="93"/>
      <c r="K585" s="93"/>
      <c r="L585" s="93"/>
      <c r="M585" s="93"/>
      <c r="N585" s="93"/>
    </row>
    <row r="586" spans="1:14" s="2" customFormat="1" ht="12.75">
      <c r="A586" s="75"/>
      <c r="B586" t="s">
        <v>212</v>
      </c>
      <c r="D586" s="8"/>
      <c r="F586" s="49">
        <v>718265</v>
      </c>
      <c r="G586" s="49">
        <v>714262.16</v>
      </c>
      <c r="H586" s="62">
        <f t="shared" si="11"/>
        <v>0.9944270707886366</v>
      </c>
      <c r="I586" s="67">
        <f>G586/G$729</f>
        <v>0.022478858058430005</v>
      </c>
      <c r="K586" s="93"/>
      <c r="L586" s="93"/>
      <c r="M586" s="93"/>
      <c r="N586" s="93"/>
    </row>
    <row r="587" spans="2:9" ht="12.75">
      <c r="B587" t="s">
        <v>213</v>
      </c>
      <c r="F587" s="49">
        <v>264850</v>
      </c>
      <c r="G587" s="49">
        <v>264850</v>
      </c>
      <c r="H587" s="62">
        <f t="shared" si="11"/>
        <v>1</v>
      </c>
      <c r="I587" s="67">
        <f>G587/G$729</f>
        <v>0.008335210641391371</v>
      </c>
    </row>
    <row r="588" spans="2:9" ht="12.75">
      <c r="B588" t="s">
        <v>284</v>
      </c>
      <c r="F588" s="47">
        <v>45700</v>
      </c>
      <c r="G588" s="47">
        <v>45000</v>
      </c>
      <c r="H588" s="62">
        <f t="shared" si="11"/>
        <v>0.9846827133479212</v>
      </c>
      <c r="I588" s="67">
        <f>G588/G$729</f>
        <v>0.0014162147587789757</v>
      </c>
    </row>
    <row r="589" spans="2:9" ht="12.75">
      <c r="B589" t="s">
        <v>558</v>
      </c>
      <c r="F589" s="47">
        <v>30000</v>
      </c>
      <c r="G589" s="47">
        <v>30000</v>
      </c>
      <c r="H589" s="62">
        <f t="shared" si="11"/>
        <v>1</v>
      </c>
      <c r="I589" s="67">
        <f>G589/G$729</f>
        <v>0.0009441431725193171</v>
      </c>
    </row>
    <row r="590" spans="2:9" ht="12.75">
      <c r="B590" t="s">
        <v>559</v>
      </c>
      <c r="F590" s="47">
        <v>0</v>
      </c>
      <c r="G590" s="47">
        <v>0</v>
      </c>
      <c r="I590" s="67">
        <f>G590/G$729</f>
        <v>0</v>
      </c>
    </row>
    <row r="591" spans="1:14" s="2" customFormat="1" ht="12.75">
      <c r="A591" s="75" t="s">
        <v>214</v>
      </c>
      <c r="B591" s="2" t="s">
        <v>165</v>
      </c>
      <c r="D591" s="8"/>
      <c r="F591" s="46">
        <f>SUM(F592)</f>
        <v>205411</v>
      </c>
      <c r="G591" s="46">
        <f>SUM(G592)</f>
        <v>184762.87</v>
      </c>
      <c r="H591" s="62">
        <f t="shared" si="11"/>
        <v>0.8994789470865727</v>
      </c>
      <c r="I591" s="67">
        <f>G591/G$729</f>
        <v>0.005814753408185805</v>
      </c>
      <c r="K591" s="93"/>
      <c r="L591" s="93"/>
      <c r="M591" s="93"/>
      <c r="N591" s="93"/>
    </row>
    <row r="592" spans="2:9" ht="12.75">
      <c r="B592" t="s">
        <v>428</v>
      </c>
      <c r="F592" s="47">
        <v>205411</v>
      </c>
      <c r="G592" s="47">
        <v>184762.87</v>
      </c>
      <c r="H592" s="62">
        <f t="shared" si="11"/>
        <v>0.8994789470865727</v>
      </c>
      <c r="I592" s="67">
        <f>G592/G$729</f>
        <v>0.005814753408185805</v>
      </c>
    </row>
    <row r="593" spans="6:9" ht="12.75">
      <c r="F593" s="47"/>
      <c r="G593" s="47"/>
      <c r="I593" s="67"/>
    </row>
    <row r="594" spans="6:9" ht="12.75">
      <c r="F594" s="47"/>
      <c r="G594" s="47"/>
      <c r="I594" s="67"/>
    </row>
    <row r="595" spans="1:14" s="82" customFormat="1" ht="15">
      <c r="A595" s="5" t="s">
        <v>167</v>
      </c>
      <c r="B595" s="80"/>
      <c r="C595" s="80"/>
      <c r="D595" s="81"/>
      <c r="E595" s="80"/>
      <c r="F595" s="53">
        <f>F597+F601+F629+F637+F640+F652+F660+F681+F684+F713</f>
        <v>14133474.83</v>
      </c>
      <c r="G595" s="53">
        <f>G597+G601+G629+G637+G640+G652+G660+G681+G684+G713</f>
        <v>11837763.01</v>
      </c>
      <c r="H595" s="100">
        <f>G595/F595</f>
        <v>0.837569186090948</v>
      </c>
      <c r="I595" s="100">
        <f>G595/G$729</f>
        <v>0.37255143745977404</v>
      </c>
      <c r="J595" s="98"/>
      <c r="K595" s="98"/>
      <c r="L595" s="98"/>
      <c r="M595" s="98"/>
      <c r="N595" s="98"/>
    </row>
    <row r="596" spans="1:9" ht="12.75">
      <c r="A596" s="75" t="s">
        <v>154</v>
      </c>
      <c r="F596" s="47"/>
      <c r="G596" s="47"/>
      <c r="I596" s="67"/>
    </row>
    <row r="597" spans="1:9" ht="12.75">
      <c r="A597" s="75" t="s">
        <v>579</v>
      </c>
      <c r="B597" s="2" t="s">
        <v>580</v>
      </c>
      <c r="F597" s="46">
        <f>SUM(F598:F599)</f>
        <v>169000</v>
      </c>
      <c r="G597" s="46">
        <f>SUM(G598:G599)</f>
        <v>140108.21</v>
      </c>
      <c r="H597" s="89">
        <f>G597/F597</f>
        <v>0.8290426627218934</v>
      </c>
      <c r="I597" s="99">
        <f>G597/G$729</f>
        <v>0.00440940699618009</v>
      </c>
    </row>
    <row r="598" spans="1:9" ht="12.75">
      <c r="A598" s="75"/>
      <c r="B598" t="s">
        <v>13</v>
      </c>
      <c r="F598" s="47">
        <v>144000</v>
      </c>
      <c r="G598" s="47">
        <v>140050</v>
      </c>
      <c r="H598" s="62">
        <f>G598/F598</f>
        <v>0.9725694444444445</v>
      </c>
      <c r="I598" s="67">
        <f>G598/G$729</f>
        <v>0.004407575043711013</v>
      </c>
    </row>
    <row r="599" spans="1:9" ht="12.75">
      <c r="A599" s="75"/>
      <c r="B599" t="s">
        <v>14</v>
      </c>
      <c r="F599" s="47">
        <v>25000</v>
      </c>
      <c r="G599" s="47">
        <v>58.21</v>
      </c>
      <c r="H599" s="62">
        <f>G599/F599</f>
        <v>0.0023284</v>
      </c>
      <c r="I599" s="67">
        <f>G599/G$729</f>
        <v>1.831952469078315E-06</v>
      </c>
    </row>
    <row r="600" spans="1:9" ht="12.75">
      <c r="A600" s="75"/>
      <c r="F600" s="47"/>
      <c r="G600" s="47"/>
      <c r="I600" s="67"/>
    </row>
    <row r="601" spans="1:14" s="16" customFormat="1" ht="12.75">
      <c r="A601" s="16" t="s">
        <v>192</v>
      </c>
      <c r="B601" s="16" t="s">
        <v>560</v>
      </c>
      <c r="D601" s="17"/>
      <c r="E601" s="17"/>
      <c r="F601" s="44">
        <f>SUM(F602:F627)</f>
        <v>2126800</v>
      </c>
      <c r="G601" s="44">
        <f>SUM(G602:G627)</f>
        <v>1918685.28</v>
      </c>
      <c r="H601" s="89">
        <f>G601/F601</f>
        <v>0.9021465488057175</v>
      </c>
      <c r="I601" s="99">
        <f>G601/G$729</f>
        <v>0.06038378691084381</v>
      </c>
      <c r="K601" s="44"/>
      <c r="L601" s="44"/>
      <c r="M601" s="44"/>
      <c r="N601" s="44"/>
    </row>
    <row r="602" spans="1:14" s="63" customFormat="1" ht="12.75">
      <c r="A602" s="6"/>
      <c r="B602" s="6" t="s">
        <v>582</v>
      </c>
      <c r="C602" s="6"/>
      <c r="D602" s="9"/>
      <c r="E602" s="9"/>
      <c r="F602" s="45">
        <v>251102</v>
      </c>
      <c r="G602" s="45">
        <v>251102</v>
      </c>
      <c r="H602" s="62">
        <f>G602/F602</f>
        <v>1</v>
      </c>
      <c r="I602" s="67">
        <f>G602/G$729</f>
        <v>0.007902541296864853</v>
      </c>
      <c r="K602" s="42"/>
      <c r="L602" s="42"/>
      <c r="M602" s="42"/>
      <c r="N602" s="42"/>
    </row>
    <row r="603" spans="1:9" ht="12.75">
      <c r="A603" s="15"/>
      <c r="B603" s="15" t="s">
        <v>125</v>
      </c>
      <c r="C603" s="15"/>
      <c r="D603" s="20"/>
      <c r="E603" s="20"/>
      <c r="F603" s="52">
        <v>4270</v>
      </c>
      <c r="G603" s="52">
        <v>4270</v>
      </c>
      <c r="H603" s="62">
        <f>G603/F603</f>
        <v>1</v>
      </c>
      <c r="I603" s="67">
        <f>G603/G$729</f>
        <v>0.0001343830448885828</v>
      </c>
    </row>
    <row r="604" spans="1:9" ht="12.75">
      <c r="A604"/>
      <c r="B604" t="s">
        <v>126</v>
      </c>
      <c r="E604" s="4"/>
      <c r="F604" s="38">
        <v>30553.2</v>
      </c>
      <c r="G604" s="38">
        <v>30553.2</v>
      </c>
      <c r="H604" s="62">
        <f>G604/F604</f>
        <v>1</v>
      </c>
      <c r="I604" s="67">
        <f>G604/G$729</f>
        <v>0.0009615531726205734</v>
      </c>
    </row>
    <row r="605" spans="1:9" ht="12.75">
      <c r="A605"/>
      <c r="B605" t="s">
        <v>127</v>
      </c>
      <c r="E605" s="4"/>
      <c r="I605" s="67"/>
    </row>
    <row r="606" spans="1:9" ht="12.75">
      <c r="A606"/>
      <c r="B606" t="s">
        <v>561</v>
      </c>
      <c r="E606" s="4"/>
      <c r="F606" s="38">
        <v>221040</v>
      </c>
      <c r="G606" s="38">
        <v>221039.6</v>
      </c>
      <c r="H606" s="62">
        <f>G606/F606</f>
        <v>0.9999981903727833</v>
      </c>
      <c r="I606" s="67">
        <f>G606/G$729</f>
        <v>0.006956434306546695</v>
      </c>
    </row>
    <row r="607" spans="1:9" ht="12.75">
      <c r="A607"/>
      <c r="B607" t="s">
        <v>15</v>
      </c>
      <c r="E607" s="4"/>
      <c r="F607" s="38">
        <v>140300</v>
      </c>
      <c r="G607" s="38">
        <v>140300</v>
      </c>
      <c r="H607" s="62">
        <f>G607/F607</f>
        <v>1</v>
      </c>
      <c r="I607" s="67">
        <f>G607/G$729</f>
        <v>0.0044154429034820065</v>
      </c>
    </row>
    <row r="608" spans="1:9" ht="12.75">
      <c r="A608"/>
      <c r="B608" t="s">
        <v>16</v>
      </c>
      <c r="E608" s="4"/>
      <c r="F608" s="38">
        <v>30628</v>
      </c>
      <c r="G608" s="38">
        <v>28853</v>
      </c>
      <c r="H608" s="62">
        <f>G608/F608</f>
        <v>0.9420464934047277</v>
      </c>
      <c r="I608" s="67">
        <f>G608/G$729</f>
        <v>0.0009080454318899952</v>
      </c>
    </row>
    <row r="609" spans="1:9" ht="12.75">
      <c r="A609"/>
      <c r="B609" t="s">
        <v>128</v>
      </c>
      <c r="E609" s="4"/>
      <c r="F609" s="38">
        <v>68</v>
      </c>
      <c r="G609" s="38">
        <v>67.5</v>
      </c>
      <c r="H609" s="62">
        <f>G609/F609</f>
        <v>0.9926470588235294</v>
      </c>
      <c r="I609" s="67">
        <f>G609/G$729</f>
        <v>2.1243221381684636E-06</v>
      </c>
    </row>
    <row r="610" spans="1:9" ht="12.75">
      <c r="A610"/>
      <c r="B610" t="s">
        <v>129</v>
      </c>
      <c r="E610" s="4"/>
      <c r="I610" s="67"/>
    </row>
    <row r="611" spans="1:9" ht="12.75">
      <c r="A611"/>
      <c r="B611" t="s">
        <v>562</v>
      </c>
      <c r="E611" s="4"/>
      <c r="F611" s="38">
        <v>600000</v>
      </c>
      <c r="G611" s="38">
        <v>587343.82</v>
      </c>
      <c r="H611" s="62">
        <f>G611/F611</f>
        <v>0.9789063666666665</v>
      </c>
      <c r="I611" s="67">
        <f>G611/G$729</f>
        <v>0.01848455525248049</v>
      </c>
    </row>
    <row r="612" spans="1:9" ht="12.75">
      <c r="A612"/>
      <c r="B612" t="s">
        <v>130</v>
      </c>
      <c r="E612" s="4"/>
      <c r="I612" s="67"/>
    </row>
    <row r="613" spans="1:9" ht="12.75">
      <c r="A613"/>
      <c r="B613" t="s">
        <v>563</v>
      </c>
      <c r="E613" s="4"/>
      <c r="F613" s="38">
        <v>159946.8</v>
      </c>
      <c r="G613" s="38">
        <v>146391.68</v>
      </c>
      <c r="H613" s="62">
        <f>G613/F613</f>
        <v>0.9152523213968645</v>
      </c>
      <c r="I613" s="67">
        <f>G613/G$729</f>
        <v>0.004607156839521089</v>
      </c>
    </row>
    <row r="614" spans="1:9" ht="12.75">
      <c r="A614"/>
      <c r="B614" t="s">
        <v>131</v>
      </c>
      <c r="E614" s="4"/>
      <c r="F614" s="38">
        <v>160000</v>
      </c>
      <c r="G614" s="38">
        <v>0</v>
      </c>
      <c r="H614" s="62">
        <f>G614/F614</f>
        <v>0</v>
      </c>
      <c r="I614" s="67">
        <f>G614/G$729</f>
        <v>0</v>
      </c>
    </row>
    <row r="615" spans="1:14" s="16" customFormat="1" ht="12.75">
      <c r="A615"/>
      <c r="B615" t="s">
        <v>132</v>
      </c>
      <c r="C615"/>
      <c r="D615" s="4"/>
      <c r="E615" s="4"/>
      <c r="F615" s="38">
        <v>0</v>
      </c>
      <c r="G615" s="38">
        <v>0</v>
      </c>
      <c r="H615" s="62"/>
      <c r="I615" s="67">
        <f>G615/G$729</f>
        <v>0</v>
      </c>
      <c r="K615" s="44"/>
      <c r="L615" s="44"/>
      <c r="M615" s="44"/>
      <c r="N615" s="44"/>
    </row>
    <row r="616" spans="1:14" s="16" customFormat="1" ht="12.75">
      <c r="A616"/>
      <c r="B616" t="s">
        <v>17</v>
      </c>
      <c r="C616"/>
      <c r="D616" s="4"/>
      <c r="E616" s="4"/>
      <c r="F616" s="38">
        <v>5000</v>
      </c>
      <c r="G616" s="38">
        <v>5000</v>
      </c>
      <c r="H616" s="62">
        <f>G616/F616</f>
        <v>1</v>
      </c>
      <c r="I616" s="67">
        <f>G616/G$729</f>
        <v>0.0001573571954198862</v>
      </c>
      <c r="K616" s="44"/>
      <c r="L616" s="44"/>
      <c r="M616" s="44"/>
      <c r="N616" s="44"/>
    </row>
    <row r="617" spans="1:14" s="16" customFormat="1" ht="12.75">
      <c r="A617"/>
      <c r="B617" t="s">
        <v>18</v>
      </c>
      <c r="C617"/>
      <c r="D617" s="4"/>
      <c r="E617" s="4"/>
      <c r="F617" s="38">
        <v>45752</v>
      </c>
      <c r="G617" s="38">
        <v>45752</v>
      </c>
      <c r="H617" s="62">
        <f>G617/F617</f>
        <v>1</v>
      </c>
      <c r="I617" s="67">
        <f>G617/G$729</f>
        <v>0.0014398812809701266</v>
      </c>
      <c r="K617" s="44"/>
      <c r="L617" s="44"/>
      <c r="M617" s="44"/>
      <c r="N617" s="44"/>
    </row>
    <row r="618" spans="1:14" s="16" customFormat="1" ht="12.75">
      <c r="A618"/>
      <c r="B618" t="s">
        <v>19</v>
      </c>
      <c r="C618"/>
      <c r="D618" s="4"/>
      <c r="E618" s="4"/>
      <c r="F618" s="38">
        <v>60000</v>
      </c>
      <c r="G618" s="38">
        <v>59999.6</v>
      </c>
      <c r="H618" s="62">
        <f>G618/F618</f>
        <v>0.9999933333333333</v>
      </c>
      <c r="I618" s="67">
        <f>G618/G$729</f>
        <v>0.0018882737564630007</v>
      </c>
      <c r="K618" s="44"/>
      <c r="L618" s="44"/>
      <c r="M618" s="44"/>
      <c r="N618" s="44"/>
    </row>
    <row r="619" spans="1:14" s="16" customFormat="1" ht="12.75">
      <c r="A619"/>
      <c r="B619" t="s">
        <v>20</v>
      </c>
      <c r="C619"/>
      <c r="D619" s="4"/>
      <c r="E619" s="4"/>
      <c r="F619" s="38">
        <v>69600</v>
      </c>
      <c r="G619" s="38">
        <v>69540</v>
      </c>
      <c r="H619" s="62">
        <f>G619/F619</f>
        <v>0.9991379310344828</v>
      </c>
      <c r="I619" s="67">
        <f>G619/G$729</f>
        <v>0.002188523873899777</v>
      </c>
      <c r="K619" s="44"/>
      <c r="L619" s="44"/>
      <c r="M619" s="44"/>
      <c r="N619" s="44"/>
    </row>
    <row r="620" spans="1:14" s="16" customFormat="1" ht="12.75">
      <c r="A620"/>
      <c r="B620" t="s">
        <v>21</v>
      </c>
      <c r="C620"/>
      <c r="D620" s="4"/>
      <c r="E620" s="4"/>
      <c r="F620" s="38">
        <v>71540</v>
      </c>
      <c r="G620" s="38">
        <v>71540</v>
      </c>
      <c r="H620" s="62">
        <f>G620/F620</f>
        <v>1</v>
      </c>
      <c r="I620" s="67">
        <f>G620/G$729</f>
        <v>0.0022514667520677316</v>
      </c>
      <c r="K620" s="44"/>
      <c r="L620" s="44"/>
      <c r="M620" s="44"/>
      <c r="N620" s="44"/>
    </row>
    <row r="621" spans="1:14" s="16" customFormat="1" ht="12.75">
      <c r="A621"/>
      <c r="B621" t="s">
        <v>22</v>
      </c>
      <c r="C621"/>
      <c r="D621" s="4"/>
      <c r="E621" s="4"/>
      <c r="F621" s="38"/>
      <c r="G621" s="38"/>
      <c r="H621" s="62"/>
      <c r="I621" s="67"/>
      <c r="K621" s="44"/>
      <c r="L621" s="44"/>
      <c r="M621" s="44"/>
      <c r="N621" s="44"/>
    </row>
    <row r="622" spans="1:14" s="16" customFormat="1" ht="12.75">
      <c r="A622"/>
      <c r="B622" t="s">
        <v>23</v>
      </c>
      <c r="C622"/>
      <c r="D622" s="4"/>
      <c r="E622" s="4"/>
      <c r="F622" s="38">
        <v>45000</v>
      </c>
      <c r="G622" s="38">
        <v>44999.99</v>
      </c>
      <c r="H622" s="62">
        <f>G622/F622</f>
        <v>0.9999997777777777</v>
      </c>
      <c r="I622" s="67">
        <f>G622/G$729</f>
        <v>0.0014162144440645849</v>
      </c>
      <c r="K622" s="44"/>
      <c r="L622" s="44"/>
      <c r="M622" s="44"/>
      <c r="N622" s="44"/>
    </row>
    <row r="623" spans="1:9" ht="12.75">
      <c r="A623"/>
      <c r="B623" t="s">
        <v>24</v>
      </c>
      <c r="E623" s="4"/>
      <c r="I623" s="67"/>
    </row>
    <row r="624" spans="1:9" ht="12.75">
      <c r="A624"/>
      <c r="B624" t="s">
        <v>564</v>
      </c>
      <c r="E624" s="4"/>
      <c r="F624" s="38">
        <v>20000</v>
      </c>
      <c r="G624" s="38">
        <v>16348</v>
      </c>
      <c r="H624" s="62">
        <f>G624/F624</f>
        <v>0.8174</v>
      </c>
      <c r="I624" s="67">
        <f>G624/G$729</f>
        <v>0.0005144950861448599</v>
      </c>
    </row>
    <row r="625" spans="1:9" ht="12.75">
      <c r="A625"/>
      <c r="B625" t="s">
        <v>25</v>
      </c>
      <c r="E625" s="4"/>
      <c r="F625" s="38">
        <v>100000</v>
      </c>
      <c r="G625" s="38">
        <v>92720</v>
      </c>
      <c r="H625" s="62">
        <f>G625/F625</f>
        <v>0.9272</v>
      </c>
      <c r="I625" s="67">
        <f>G625/G$729</f>
        <v>0.0029180318318663694</v>
      </c>
    </row>
    <row r="626" spans="1:9" ht="12.75">
      <c r="A626"/>
      <c r="B626" t="s">
        <v>26</v>
      </c>
      <c r="E626" s="4"/>
      <c r="F626" s="38">
        <v>76000</v>
      </c>
      <c r="G626" s="38">
        <v>74566.99</v>
      </c>
      <c r="H626" s="62">
        <f>G626/F626</f>
        <v>0.9811446052631579</v>
      </c>
      <c r="I626" s="67">
        <f>G626/G$729</f>
        <v>0.0023467304834605403</v>
      </c>
    </row>
    <row r="627" spans="1:9" ht="12.75">
      <c r="A627"/>
      <c r="B627" t="s">
        <v>27</v>
      </c>
      <c r="E627" s="4"/>
      <c r="F627" s="38">
        <v>36000</v>
      </c>
      <c r="G627" s="38">
        <v>28297.9</v>
      </c>
      <c r="H627" s="62">
        <f>G627/F627</f>
        <v>0.7860527777777778</v>
      </c>
      <c r="I627" s="67">
        <f>G627/G$729</f>
        <v>0.0008905756360544796</v>
      </c>
    </row>
    <row r="628" spans="1:9" ht="12.75">
      <c r="A628"/>
      <c r="E628" s="4"/>
      <c r="I628" s="67"/>
    </row>
    <row r="629" spans="1:9" ht="12.75">
      <c r="A629" s="16" t="s">
        <v>172</v>
      </c>
      <c r="B629" s="16" t="s">
        <v>384</v>
      </c>
      <c r="C629" s="16"/>
      <c r="D629" s="17"/>
      <c r="E629" s="17"/>
      <c r="F629" s="44">
        <f>SUM(F630:F635)</f>
        <v>6848181</v>
      </c>
      <c r="G629" s="44">
        <f>SUM(G630:G635)</f>
        <v>6782269.82</v>
      </c>
      <c r="H629" s="89">
        <f>G629/F629</f>
        <v>0.9903753741321966</v>
      </c>
      <c r="I629" s="99">
        <f>G629/G$729</f>
        <v>0.21344779149122728</v>
      </c>
    </row>
    <row r="630" spans="1:9" ht="12.75">
      <c r="A630"/>
      <c r="B630" t="s">
        <v>565</v>
      </c>
      <c r="E630" s="4"/>
      <c r="F630" s="38">
        <v>6027000</v>
      </c>
      <c r="G630" s="38">
        <v>5988707.83</v>
      </c>
      <c r="H630" s="62">
        <f>G630/F630</f>
        <v>0.9936465621370499</v>
      </c>
      <c r="I630" s="67">
        <f>G630/G$729</f>
        <v>0.18847325366358253</v>
      </c>
    </row>
    <row r="631" spans="1:9" ht="12.75">
      <c r="A631"/>
      <c r="B631" t="s">
        <v>566</v>
      </c>
      <c r="E631" s="4"/>
      <c r="F631" s="38">
        <v>492681</v>
      </c>
      <c r="G631" s="38">
        <v>490626.41</v>
      </c>
      <c r="H631" s="62">
        <f>G631/F631</f>
        <v>0.9958297762649665</v>
      </c>
      <c r="I631" s="67">
        <f>G631/G$729</f>
        <v>0.01544071917530544</v>
      </c>
    </row>
    <row r="632" spans="1:9" ht="12.75">
      <c r="A632"/>
      <c r="B632" t="s">
        <v>28</v>
      </c>
      <c r="E632" s="4"/>
      <c r="F632" s="38">
        <v>120000</v>
      </c>
      <c r="G632" s="38">
        <v>111201.55</v>
      </c>
      <c r="H632" s="62">
        <f>G632/F632</f>
        <v>0.9266795833333333</v>
      </c>
      <c r="I632" s="67">
        <f>G632/G$729</f>
        <v>0.003499672806868849</v>
      </c>
    </row>
    <row r="633" spans="1:9" ht="12.75">
      <c r="A633"/>
      <c r="B633" t="s">
        <v>29</v>
      </c>
      <c r="E633" s="4"/>
      <c r="F633" s="38">
        <v>208500</v>
      </c>
      <c r="G633" s="38">
        <v>191734.03</v>
      </c>
      <c r="H633" s="62">
        <f>G633/F633</f>
        <v>0.9195876738609112</v>
      </c>
      <c r="I633" s="67">
        <f>G633/G$729</f>
        <v>0.006034145845470465</v>
      </c>
    </row>
    <row r="634" spans="1:9" ht="12.75">
      <c r="A634"/>
      <c r="B634" t="s">
        <v>30</v>
      </c>
      <c r="E634" s="4"/>
      <c r="I634" s="67"/>
    </row>
    <row r="635" spans="1:9" ht="12.75">
      <c r="A635"/>
      <c r="B635" t="s">
        <v>581</v>
      </c>
      <c r="E635" s="4"/>
      <c r="F635" s="38">
        <v>0</v>
      </c>
      <c r="G635" s="38">
        <v>0</v>
      </c>
      <c r="I635" s="67">
        <f>G635/G$729</f>
        <v>0</v>
      </c>
    </row>
    <row r="636" spans="1:14" s="16" customFormat="1" ht="12.75">
      <c r="A636"/>
      <c r="B636"/>
      <c r="C636"/>
      <c r="D636" s="4"/>
      <c r="E636" s="4"/>
      <c r="F636" s="38"/>
      <c r="G636" s="38"/>
      <c r="H636" s="62"/>
      <c r="I636" s="67">
        <f>G636/G$729</f>
        <v>0</v>
      </c>
      <c r="K636" s="44"/>
      <c r="L636" s="44"/>
      <c r="M636" s="44"/>
      <c r="N636" s="44"/>
    </row>
    <row r="637" spans="1:9" ht="12.75">
      <c r="A637" s="2" t="s">
        <v>196</v>
      </c>
      <c r="B637" s="2" t="s">
        <v>197</v>
      </c>
      <c r="C637" s="2"/>
      <c r="D637" s="8"/>
      <c r="E637" s="8"/>
      <c r="F637" s="93">
        <f>SUM(F638:F639)</f>
        <v>201000</v>
      </c>
      <c r="G637" s="93">
        <f>SUM(G638:G639)</f>
        <v>50219</v>
      </c>
      <c r="H637" s="89">
        <f>G637/F637</f>
        <v>0.2498457711442786</v>
      </c>
      <c r="I637" s="99">
        <f>G637/G$729</f>
        <v>0.001580464199358253</v>
      </c>
    </row>
    <row r="638" spans="1:9" ht="12.75">
      <c r="A638" s="6"/>
      <c r="B638" s="6" t="s">
        <v>567</v>
      </c>
      <c r="C638" s="6"/>
      <c r="D638" s="9"/>
      <c r="E638" s="9"/>
      <c r="F638" s="45">
        <v>121000</v>
      </c>
      <c r="G638" s="45">
        <v>21000</v>
      </c>
      <c r="H638" s="62">
        <f>G638/F638</f>
        <v>0.17355371900826447</v>
      </c>
      <c r="I638" s="67">
        <f>G638/G$729</f>
        <v>0.000660900220763522</v>
      </c>
    </row>
    <row r="639" spans="1:9" ht="12.75">
      <c r="A639" s="6"/>
      <c r="B639" s="6" t="s">
        <v>31</v>
      </c>
      <c r="C639" s="6"/>
      <c r="D639" s="9"/>
      <c r="E639" s="9"/>
      <c r="F639" s="45">
        <v>80000</v>
      </c>
      <c r="G639" s="45">
        <v>29219</v>
      </c>
      <c r="H639" s="62">
        <f>G639/F639</f>
        <v>0.3652375</v>
      </c>
      <c r="I639" s="67">
        <f>G639/G$729</f>
        <v>0.0009195639785947309</v>
      </c>
    </row>
    <row r="640" spans="1:9" ht="12.75">
      <c r="A640" s="16" t="s">
        <v>178</v>
      </c>
      <c r="B640" s="16" t="s">
        <v>179</v>
      </c>
      <c r="C640" s="16"/>
      <c r="D640" s="17"/>
      <c r="E640" s="17"/>
      <c r="F640" s="44">
        <f>SUM(F641:F650)</f>
        <v>220700</v>
      </c>
      <c r="G640" s="44">
        <f>SUM(G641:G650)</f>
        <v>160376.77</v>
      </c>
      <c r="H640" s="62">
        <f aca="true" t="shared" si="12" ref="H640:H650">G640/F640</f>
        <v>0.7266731762573629</v>
      </c>
      <c r="I640" s="67">
        <f>G640/G$729</f>
        <v>0.005047287747540028</v>
      </c>
    </row>
    <row r="641" spans="1:9" ht="12.75">
      <c r="A641"/>
      <c r="B641" t="s">
        <v>32</v>
      </c>
      <c r="E641" s="4"/>
      <c r="F641" s="38">
        <v>28600</v>
      </c>
      <c r="G641" s="38">
        <v>28224.46</v>
      </c>
      <c r="H641" s="62">
        <f t="shared" si="12"/>
        <v>0.9868692307692307</v>
      </c>
      <c r="I641" s="67">
        <f>G641/G$729</f>
        <v>0.0008882643735681522</v>
      </c>
    </row>
    <row r="642" spans="1:9" ht="12.75">
      <c r="A642"/>
      <c r="B642" t="s">
        <v>33</v>
      </c>
      <c r="E642" s="4"/>
      <c r="F642" s="38">
        <v>55000</v>
      </c>
      <c r="G642" s="38">
        <v>0</v>
      </c>
      <c r="H642" s="62">
        <f t="shared" si="12"/>
        <v>0</v>
      </c>
      <c r="I642" s="67">
        <f>G642/G$729</f>
        <v>0</v>
      </c>
    </row>
    <row r="643" spans="1:9" ht="12.75">
      <c r="A643"/>
      <c r="B643" t="s">
        <v>34</v>
      </c>
      <c r="E643" s="4"/>
      <c r="F643" s="38">
        <v>4000</v>
      </c>
      <c r="G643" s="38">
        <v>0</v>
      </c>
      <c r="H643" s="62">
        <f t="shared" si="12"/>
        <v>0</v>
      </c>
      <c r="I643" s="67">
        <f>G643/G$729</f>
        <v>0</v>
      </c>
    </row>
    <row r="644" spans="1:9" ht="12.75">
      <c r="A644"/>
      <c r="B644" t="s">
        <v>35</v>
      </c>
      <c r="E644" s="4"/>
      <c r="F644" s="38">
        <v>25550</v>
      </c>
      <c r="G644" s="38">
        <v>25142.37</v>
      </c>
      <c r="H644" s="62">
        <f t="shared" si="12"/>
        <v>0.9840457925636007</v>
      </c>
      <c r="I644" s="67">
        <f>G644/G$729</f>
        <v>0.0007912665658818168</v>
      </c>
    </row>
    <row r="645" spans="1:9" ht="12.75">
      <c r="A645"/>
      <c r="B645" t="s">
        <v>36</v>
      </c>
      <c r="E645" s="4"/>
      <c r="F645" s="38">
        <v>52400</v>
      </c>
      <c r="G645" s="38">
        <v>52394.8</v>
      </c>
      <c r="H645" s="62">
        <f t="shared" si="12"/>
        <v>0.9999007633587786</v>
      </c>
      <c r="I645" s="67">
        <f>G645/G$729</f>
        <v>0.0016489397565171706</v>
      </c>
    </row>
    <row r="646" spans="1:14" s="16" customFormat="1" ht="12.75">
      <c r="A646"/>
      <c r="B646" t="s">
        <v>37</v>
      </c>
      <c r="C646"/>
      <c r="D646" s="4"/>
      <c r="E646" s="4"/>
      <c r="F646" s="38">
        <v>24400</v>
      </c>
      <c r="G646" s="38">
        <v>23966.3</v>
      </c>
      <c r="H646" s="62">
        <f t="shared" si="12"/>
        <v>0.9822254098360655</v>
      </c>
      <c r="I646" s="67">
        <f>G646/G$729</f>
        <v>0.0007542539505183236</v>
      </c>
      <c r="K646" s="44"/>
      <c r="L646" s="44"/>
      <c r="M646" s="44"/>
      <c r="N646" s="44"/>
    </row>
    <row r="647" spans="1:14" s="15" customFormat="1" ht="12.75">
      <c r="A647"/>
      <c r="B647" t="s">
        <v>38</v>
      </c>
      <c r="C647"/>
      <c r="D647" s="4"/>
      <c r="E647" s="4"/>
      <c r="F647" s="38">
        <v>10730</v>
      </c>
      <c r="G647" s="38">
        <v>10687.2</v>
      </c>
      <c r="H647" s="62">
        <f t="shared" si="12"/>
        <v>0.9960111835973906</v>
      </c>
      <c r="I647" s="67">
        <f>G647/G$729</f>
        <v>0.0003363415637782816</v>
      </c>
      <c r="K647" s="52"/>
      <c r="L647" s="52"/>
      <c r="M647" s="52"/>
      <c r="N647" s="52"/>
    </row>
    <row r="648" spans="1:14" s="15" customFormat="1" ht="12.75">
      <c r="A648"/>
      <c r="B648" t="s">
        <v>39</v>
      </c>
      <c r="C648"/>
      <c r="D648" s="4"/>
      <c r="E648" s="4"/>
      <c r="F648" s="38">
        <v>3750</v>
      </c>
      <c r="G648" s="38">
        <v>3747.84</v>
      </c>
      <c r="H648" s="62">
        <f t="shared" si="12"/>
        <v>0.9994240000000001</v>
      </c>
      <c r="I648" s="67">
        <f>G648/G$729</f>
        <v>0.00011794991825649325</v>
      </c>
      <c r="K648" s="52"/>
      <c r="L648" s="52"/>
      <c r="M648" s="52"/>
      <c r="N648" s="52"/>
    </row>
    <row r="649" spans="1:14" s="15" customFormat="1" ht="12.75">
      <c r="A649"/>
      <c r="B649" t="s">
        <v>40</v>
      </c>
      <c r="C649"/>
      <c r="D649" s="4"/>
      <c r="E649" s="4"/>
      <c r="F649" s="38">
        <v>12000</v>
      </c>
      <c r="G649" s="38">
        <v>11943.8</v>
      </c>
      <c r="H649" s="62">
        <f t="shared" si="12"/>
        <v>0.9953166666666666</v>
      </c>
      <c r="I649" s="67">
        <f>G649/G$729</f>
        <v>0.0003758885741312073</v>
      </c>
      <c r="K649" s="52"/>
      <c r="L649" s="52"/>
      <c r="M649" s="52"/>
      <c r="N649" s="52"/>
    </row>
    <row r="650" spans="1:14" s="15" customFormat="1" ht="12.75">
      <c r="A650"/>
      <c r="B650" t="s">
        <v>41</v>
      </c>
      <c r="C650"/>
      <c r="D650" s="4"/>
      <c r="E650" s="4"/>
      <c r="F650" s="38">
        <v>4270</v>
      </c>
      <c r="G650" s="38">
        <v>4270</v>
      </c>
      <c r="H650" s="62">
        <f t="shared" si="12"/>
        <v>1</v>
      </c>
      <c r="I650" s="67">
        <f>G650/G$729</f>
        <v>0.0001343830448885828</v>
      </c>
      <c r="K650" s="52"/>
      <c r="L650" s="52"/>
      <c r="M650" s="52"/>
      <c r="N650" s="52"/>
    </row>
    <row r="651" spans="1:9" ht="12.75">
      <c r="A651"/>
      <c r="E651" s="4"/>
      <c r="I651" s="67"/>
    </row>
    <row r="652" spans="1:14" s="15" customFormat="1" ht="12.75">
      <c r="A652" s="16" t="s">
        <v>182</v>
      </c>
      <c r="B652" s="16" t="s">
        <v>183</v>
      </c>
      <c r="C652" s="16"/>
      <c r="D652" s="17"/>
      <c r="E652" s="17"/>
      <c r="F652" s="44">
        <f>SUM(F653:F658)</f>
        <v>105400</v>
      </c>
      <c r="G652" s="44">
        <f>SUM(G653:G658)</f>
        <v>91382.52</v>
      </c>
      <c r="H652" s="89">
        <f>G652/F652</f>
        <v>0.8670068311195447</v>
      </c>
      <c r="I652" s="99">
        <f>G652/G$729</f>
        <v>0.002875939411520332</v>
      </c>
      <c r="K652" s="52"/>
      <c r="L652" s="52"/>
      <c r="M652" s="52"/>
      <c r="N652" s="52"/>
    </row>
    <row r="653" spans="2:14" s="15" customFormat="1" ht="12.75">
      <c r="B653" s="15" t="s">
        <v>568</v>
      </c>
      <c r="D653" s="20"/>
      <c r="E653" s="20"/>
      <c r="F653" s="52">
        <v>9885.13</v>
      </c>
      <c r="G653" s="52">
        <v>9867.65</v>
      </c>
      <c r="H653" s="62">
        <f>G653/F653</f>
        <v>0.9982316873930844</v>
      </c>
      <c r="I653" s="67">
        <f>G653/G$729</f>
        <v>0.000310549145877008</v>
      </c>
      <c r="K653" s="52"/>
      <c r="L653" s="52"/>
      <c r="M653" s="52"/>
      <c r="N653" s="52"/>
    </row>
    <row r="654" spans="2:14" s="15" customFormat="1" ht="12.75">
      <c r="B654" s="15" t="s">
        <v>725</v>
      </c>
      <c r="D654" s="20"/>
      <c r="E654" s="20"/>
      <c r="F654" s="52">
        <v>14456.87</v>
      </c>
      <c r="G654" s="52">
        <v>14456.87</v>
      </c>
      <c r="H654" s="62">
        <f>G654/F654</f>
        <v>1</v>
      </c>
      <c r="I654" s="67">
        <f>G654/G$729</f>
        <v>0.00045497850354997806</v>
      </c>
      <c r="K654" s="52"/>
      <c r="L654" s="52"/>
      <c r="M654" s="52"/>
      <c r="N654" s="52"/>
    </row>
    <row r="655" spans="2:14" s="15" customFormat="1" ht="12.75">
      <c r="B655" s="15" t="s">
        <v>726</v>
      </c>
      <c r="D655" s="20"/>
      <c r="E655" s="20"/>
      <c r="F655" s="52">
        <v>4960</v>
      </c>
      <c r="G655" s="52">
        <v>4960</v>
      </c>
      <c r="H655" s="62">
        <f>G655/F655</f>
        <v>1</v>
      </c>
      <c r="I655" s="67">
        <f>G655/G$729</f>
        <v>0.0001560983378565271</v>
      </c>
      <c r="K655" s="52"/>
      <c r="L655" s="52"/>
      <c r="M655" s="52"/>
      <c r="N655" s="52"/>
    </row>
    <row r="656" spans="2:14" s="15" customFormat="1" ht="12.75">
      <c r="B656" s="15" t="s">
        <v>727</v>
      </c>
      <c r="D656" s="20"/>
      <c r="E656" s="20"/>
      <c r="F656" s="52">
        <v>62098</v>
      </c>
      <c r="G656" s="52">
        <v>62098</v>
      </c>
      <c r="H656" s="62">
        <f>G656/F656</f>
        <v>1</v>
      </c>
      <c r="I656" s="67">
        <f>G656/G$729</f>
        <v>0.0019543134242368185</v>
      </c>
      <c r="K656" s="52"/>
      <c r="L656" s="52"/>
      <c r="M656" s="52"/>
      <c r="N656" s="52"/>
    </row>
    <row r="657" spans="2:14" s="15" customFormat="1" ht="12.75">
      <c r="B657" s="15" t="s">
        <v>87</v>
      </c>
      <c r="D657" s="20"/>
      <c r="E657" s="20"/>
      <c r="F657" s="52"/>
      <c r="G657" s="52"/>
      <c r="H657" s="62"/>
      <c r="I657" s="67"/>
      <c r="K657" s="52"/>
      <c r="L657" s="52"/>
      <c r="M657" s="52"/>
      <c r="N657" s="52"/>
    </row>
    <row r="658" spans="1:14" s="15" customFormat="1" ht="12.75">
      <c r="A658"/>
      <c r="B658" s="15" t="s">
        <v>88</v>
      </c>
      <c r="C658"/>
      <c r="D658" s="4"/>
      <c r="E658" s="4"/>
      <c r="F658" s="38">
        <v>14000</v>
      </c>
      <c r="G658" s="38">
        <v>0</v>
      </c>
      <c r="H658" s="62">
        <f>G658/F658</f>
        <v>0</v>
      </c>
      <c r="I658" s="67">
        <f>G658/G$729</f>
        <v>0</v>
      </c>
      <c r="K658" s="52"/>
      <c r="L658" s="52"/>
      <c r="M658" s="52"/>
      <c r="N658" s="52"/>
    </row>
    <row r="659" spans="1:14" s="15" customFormat="1" ht="12.75">
      <c r="A659"/>
      <c r="C659"/>
      <c r="D659" s="4"/>
      <c r="E659" s="4"/>
      <c r="F659" s="38"/>
      <c r="G659" s="38"/>
      <c r="H659" s="62"/>
      <c r="I659" s="67"/>
      <c r="K659" s="52"/>
      <c r="L659" s="52"/>
      <c r="M659" s="52"/>
      <c r="N659" s="52"/>
    </row>
    <row r="660" spans="1:14" s="15" customFormat="1" ht="12.75">
      <c r="A660" s="16" t="s">
        <v>188</v>
      </c>
      <c r="B660" s="16" t="s">
        <v>145</v>
      </c>
      <c r="C660" s="16"/>
      <c r="D660" s="17"/>
      <c r="E660" s="17"/>
      <c r="F660" s="44">
        <f>SUM(F661:F680)</f>
        <v>1523583.75</v>
      </c>
      <c r="G660" s="44">
        <f>SUM(G661:G680)</f>
        <v>1032132.54</v>
      </c>
      <c r="H660" s="89">
        <f aca="true" t="shared" si="13" ref="H660:H678">G660/F660</f>
        <v>0.6774373512450498</v>
      </c>
      <c r="I660" s="99">
        <f aca="true" t="shared" si="14" ref="I660:I678">G660/G$729</f>
        <v>0.0324826963592007</v>
      </c>
      <c r="K660" s="52"/>
      <c r="L660" s="52"/>
      <c r="M660" s="52"/>
      <c r="N660" s="52"/>
    </row>
    <row r="661" spans="1:14" s="15" customFormat="1" ht="12.75">
      <c r="A661" s="16"/>
      <c r="B661" s="6" t="s">
        <v>121</v>
      </c>
      <c r="C661" s="16"/>
      <c r="D661" s="17"/>
      <c r="E661" s="17"/>
      <c r="F661" s="45">
        <v>145000</v>
      </c>
      <c r="G661" s="45">
        <v>118622.42</v>
      </c>
      <c r="H661" s="62">
        <f t="shared" si="13"/>
        <v>0.8180856551724138</v>
      </c>
      <c r="I661" s="67">
        <f t="shared" si="14"/>
        <v>0.0037332182650239632</v>
      </c>
      <c r="K661" s="52"/>
      <c r="L661" s="52"/>
      <c r="M661" s="52"/>
      <c r="N661" s="52"/>
    </row>
    <row r="662" spans="2:14" s="15" customFormat="1" ht="12.75">
      <c r="B662" s="15" t="s">
        <v>122</v>
      </c>
      <c r="D662" s="20"/>
      <c r="E662" s="20"/>
      <c r="F662" s="52">
        <v>7500</v>
      </c>
      <c r="G662" s="52">
        <v>7320</v>
      </c>
      <c r="H662" s="62">
        <f t="shared" si="13"/>
        <v>0.976</v>
      </c>
      <c r="I662" s="67">
        <f t="shared" si="14"/>
        <v>0.0002303709340947134</v>
      </c>
      <c r="K662" s="52"/>
      <c r="L662" s="52"/>
      <c r="M662" s="52"/>
      <c r="N662" s="52"/>
    </row>
    <row r="663" spans="2:14" s="15" customFormat="1" ht="12.75">
      <c r="B663" s="15" t="s">
        <v>42</v>
      </c>
      <c r="D663" s="20"/>
      <c r="E663" s="20"/>
      <c r="F663" s="52">
        <v>63806.18</v>
      </c>
      <c r="G663" s="52">
        <v>63806.18</v>
      </c>
      <c r="H663" s="62">
        <f t="shared" si="13"/>
        <v>1</v>
      </c>
      <c r="I663" s="67">
        <f t="shared" si="14"/>
        <v>0.002008072307051287</v>
      </c>
      <c r="K663" s="52"/>
      <c r="L663" s="52"/>
      <c r="M663" s="52"/>
      <c r="N663" s="52"/>
    </row>
    <row r="664" spans="2:14" s="15" customFormat="1" ht="12.75">
      <c r="B664" s="15" t="s">
        <v>43</v>
      </c>
      <c r="D664" s="20"/>
      <c r="E664" s="20"/>
      <c r="F664" s="52">
        <v>25010</v>
      </c>
      <c r="G664" s="52">
        <v>25010</v>
      </c>
      <c r="H664" s="62">
        <f t="shared" si="13"/>
        <v>1</v>
      </c>
      <c r="I664" s="67">
        <f t="shared" si="14"/>
        <v>0.0007871006914902707</v>
      </c>
      <c r="K664" s="52"/>
      <c r="L664" s="52"/>
      <c r="M664" s="52"/>
      <c r="N664" s="52"/>
    </row>
    <row r="665" spans="2:14" s="15" customFormat="1" ht="12.75">
      <c r="B665" s="15" t="s">
        <v>728</v>
      </c>
      <c r="D665" s="20"/>
      <c r="E665" s="20"/>
      <c r="F665" s="52">
        <v>10623.82</v>
      </c>
      <c r="G665" s="52">
        <v>10623.76</v>
      </c>
      <c r="H665" s="62">
        <f t="shared" si="13"/>
        <v>0.9999943523139512</v>
      </c>
      <c r="I665" s="67">
        <f t="shared" si="14"/>
        <v>0.00033434501568279404</v>
      </c>
      <c r="J665" s="52"/>
      <c r="K665" s="52"/>
      <c r="L665" s="52"/>
      <c r="M665" s="52"/>
      <c r="N665" s="52"/>
    </row>
    <row r="666" spans="2:14" s="15" customFormat="1" ht="12.75">
      <c r="B666" s="28" t="s">
        <v>44</v>
      </c>
      <c r="D666" s="20"/>
      <c r="E666" s="20"/>
      <c r="F666" s="52">
        <v>15100</v>
      </c>
      <c r="G666" s="52">
        <v>15081.8</v>
      </c>
      <c r="H666" s="62">
        <f t="shared" si="13"/>
        <v>0.9987947019867549</v>
      </c>
      <c r="I666" s="67">
        <f t="shared" si="14"/>
        <v>0.0004746459499767279</v>
      </c>
      <c r="K666" s="52"/>
      <c r="L666" s="52"/>
      <c r="M666" s="52"/>
      <c r="N666" s="52"/>
    </row>
    <row r="667" spans="1:14" s="15" customFormat="1" ht="12.75">
      <c r="A667"/>
      <c r="B667" t="s">
        <v>45</v>
      </c>
      <c r="C667"/>
      <c r="D667" s="4"/>
      <c r="E667" s="4"/>
      <c r="F667" s="38">
        <v>5000</v>
      </c>
      <c r="G667" s="38">
        <v>4989.07</v>
      </c>
      <c r="H667" s="62">
        <f t="shared" si="13"/>
        <v>0.997814</v>
      </c>
      <c r="I667" s="67">
        <f t="shared" si="14"/>
        <v>0.0001570132125906983</v>
      </c>
      <c r="K667" s="52"/>
      <c r="L667" s="52"/>
      <c r="M667" s="52"/>
      <c r="N667" s="52"/>
    </row>
    <row r="668" spans="1:14" s="15" customFormat="1" ht="12.75">
      <c r="A668"/>
      <c r="B668" t="s">
        <v>46</v>
      </c>
      <c r="C668"/>
      <c r="D668" s="4"/>
      <c r="E668" s="4"/>
      <c r="F668" s="38">
        <v>398133</v>
      </c>
      <c r="G668" s="38">
        <v>397685.21</v>
      </c>
      <c r="H668" s="62">
        <f t="shared" si="13"/>
        <v>0.9988752753476854</v>
      </c>
      <c r="I668" s="67">
        <f t="shared" si="14"/>
        <v>0.012515725861113696</v>
      </c>
      <c r="K668" s="52"/>
      <c r="L668" s="52"/>
      <c r="M668" s="52"/>
      <c r="N668" s="52"/>
    </row>
    <row r="669" spans="1:14" s="15" customFormat="1" ht="12.75">
      <c r="A669"/>
      <c r="B669" t="s">
        <v>52</v>
      </c>
      <c r="C669"/>
      <c r="D669" s="4"/>
      <c r="E669" s="4"/>
      <c r="F669" s="38">
        <v>18300</v>
      </c>
      <c r="G669" s="38">
        <v>18300</v>
      </c>
      <c r="H669" s="62">
        <f t="shared" si="13"/>
        <v>1</v>
      </c>
      <c r="I669" s="67">
        <f t="shared" si="14"/>
        <v>0.0005759273352367835</v>
      </c>
      <c r="K669" s="52"/>
      <c r="L669" s="52"/>
      <c r="M669" s="52"/>
      <c r="N669" s="52"/>
    </row>
    <row r="670" spans="1:14" s="15" customFormat="1" ht="12.75">
      <c r="A670"/>
      <c r="B670" t="s">
        <v>51</v>
      </c>
      <c r="C670"/>
      <c r="D670" s="4"/>
      <c r="E670" s="4"/>
      <c r="F670" s="38">
        <v>75000</v>
      </c>
      <c r="G670" s="38">
        <v>61488</v>
      </c>
      <c r="H670" s="62">
        <f t="shared" si="13"/>
        <v>0.81984</v>
      </c>
      <c r="I670" s="67">
        <f t="shared" si="14"/>
        <v>0.0019351158463955926</v>
      </c>
      <c r="K670" s="52"/>
      <c r="L670" s="52"/>
      <c r="M670" s="52"/>
      <c r="N670" s="52"/>
    </row>
    <row r="671" spans="1:14" s="15" customFormat="1" ht="12.75">
      <c r="A671"/>
      <c r="B671" t="s">
        <v>53</v>
      </c>
      <c r="C671"/>
      <c r="D671" s="4"/>
      <c r="E671" s="4"/>
      <c r="F671" s="38">
        <v>28000</v>
      </c>
      <c r="G671" s="38">
        <v>27998.26</v>
      </c>
      <c r="H671" s="62">
        <f t="shared" si="13"/>
        <v>0.9999378571428571</v>
      </c>
      <c r="I671" s="67">
        <f t="shared" si="14"/>
        <v>0.0008811455340473565</v>
      </c>
      <c r="K671" s="52"/>
      <c r="L671" s="52"/>
      <c r="M671" s="52"/>
      <c r="N671" s="52"/>
    </row>
    <row r="672" spans="1:14" s="15" customFormat="1" ht="12.75">
      <c r="A672"/>
      <c r="B672" t="s">
        <v>54</v>
      </c>
      <c r="C672"/>
      <c r="D672" s="4"/>
      <c r="E672" s="4"/>
      <c r="F672" s="38">
        <v>6765</v>
      </c>
      <c r="G672" s="38">
        <v>6764.99</v>
      </c>
      <c r="H672" s="62">
        <f t="shared" si="13"/>
        <v>0.9999985218033998</v>
      </c>
      <c r="I672" s="67">
        <f t="shared" si="14"/>
        <v>0.00021290397068871516</v>
      </c>
      <c r="J672" s="52"/>
      <c r="K672" s="52"/>
      <c r="L672" s="52"/>
      <c r="M672" s="52"/>
      <c r="N672" s="52"/>
    </row>
    <row r="673" spans="1:14" s="16" customFormat="1" ht="13.5" customHeight="1">
      <c r="A673"/>
      <c r="B673" t="s">
        <v>55</v>
      </c>
      <c r="C673"/>
      <c r="D673" s="4"/>
      <c r="E673" s="4"/>
      <c r="F673" s="38">
        <v>50000</v>
      </c>
      <c r="G673" s="38">
        <v>0</v>
      </c>
      <c r="H673" s="62">
        <f t="shared" si="13"/>
        <v>0</v>
      </c>
      <c r="I673" s="67">
        <f t="shared" si="14"/>
        <v>0</v>
      </c>
      <c r="K673" s="44"/>
      <c r="L673" s="44"/>
      <c r="M673" s="44"/>
      <c r="N673" s="44"/>
    </row>
    <row r="674" spans="1:14" s="16" customFormat="1" ht="13.5" customHeight="1">
      <c r="A674"/>
      <c r="B674" t="s">
        <v>56</v>
      </c>
      <c r="C674"/>
      <c r="D674" s="4"/>
      <c r="E674" s="4"/>
      <c r="F674" s="38">
        <v>61000</v>
      </c>
      <c r="G674" s="38">
        <v>61000</v>
      </c>
      <c r="H674" s="62">
        <f t="shared" si="13"/>
        <v>1</v>
      </c>
      <c r="I674" s="67">
        <f t="shared" si="14"/>
        <v>0.0019197577841226115</v>
      </c>
      <c r="K674" s="44"/>
      <c r="L674" s="44"/>
      <c r="M674" s="44"/>
      <c r="N674" s="44"/>
    </row>
    <row r="675" spans="1:14" s="16" customFormat="1" ht="13.5" customHeight="1">
      <c r="A675"/>
      <c r="B675" t="s">
        <v>57</v>
      </c>
      <c r="C675"/>
      <c r="D675" s="4"/>
      <c r="E675" s="4"/>
      <c r="F675" s="38">
        <v>1905.75</v>
      </c>
      <c r="G675" s="38">
        <v>0</v>
      </c>
      <c r="H675" s="62">
        <f t="shared" si="13"/>
        <v>0</v>
      </c>
      <c r="I675" s="67">
        <f t="shared" si="14"/>
        <v>0</v>
      </c>
      <c r="K675" s="44"/>
      <c r="L675" s="44"/>
      <c r="M675" s="44"/>
      <c r="N675" s="44"/>
    </row>
    <row r="676" spans="1:14" s="15" customFormat="1" ht="12.75">
      <c r="A676"/>
      <c r="B676" t="s">
        <v>58</v>
      </c>
      <c r="C676"/>
      <c r="D676" s="4"/>
      <c r="E676" s="4"/>
      <c r="F676" s="38">
        <v>132440</v>
      </c>
      <c r="G676" s="38">
        <v>132434.85</v>
      </c>
      <c r="H676" s="62">
        <f t="shared" si="13"/>
        <v>0.9999611144669285</v>
      </c>
      <c r="I676" s="67">
        <f t="shared" si="14"/>
        <v>0.0041679153143706635</v>
      </c>
      <c r="K676" s="52"/>
      <c r="L676" s="52"/>
      <c r="M676" s="52"/>
      <c r="N676" s="52"/>
    </row>
    <row r="677" spans="1:14" s="15" customFormat="1" ht="12.75">
      <c r="A677"/>
      <c r="B677" t="s">
        <v>47</v>
      </c>
      <c r="C677"/>
      <c r="D677" s="4"/>
      <c r="E677" s="4"/>
      <c r="F677" s="38">
        <v>340000</v>
      </c>
      <c r="G677" s="38">
        <v>0</v>
      </c>
      <c r="H677" s="62">
        <f t="shared" si="13"/>
        <v>0</v>
      </c>
      <c r="I677" s="67">
        <f t="shared" si="14"/>
        <v>0</v>
      </c>
      <c r="K677" s="52"/>
      <c r="L677" s="52"/>
      <c r="M677" s="52"/>
      <c r="N677" s="52"/>
    </row>
    <row r="678" spans="1:14" s="15" customFormat="1" ht="12.75">
      <c r="A678"/>
      <c r="B678" t="s">
        <v>48</v>
      </c>
      <c r="C678"/>
      <c r="D678" s="4"/>
      <c r="E678" s="4"/>
      <c r="F678" s="38">
        <v>80000</v>
      </c>
      <c r="G678" s="38">
        <v>61488</v>
      </c>
      <c r="H678" s="62">
        <f t="shared" si="13"/>
        <v>0.7686</v>
      </c>
      <c r="I678" s="67">
        <f t="shared" si="14"/>
        <v>0.0019351158463955926</v>
      </c>
      <c r="K678" s="52"/>
      <c r="L678" s="52"/>
      <c r="M678" s="52"/>
      <c r="N678" s="52"/>
    </row>
    <row r="679" spans="1:14" s="15" customFormat="1" ht="12.75">
      <c r="A679"/>
      <c r="B679" t="s">
        <v>49</v>
      </c>
      <c r="C679"/>
      <c r="D679" s="4"/>
      <c r="E679" s="4"/>
      <c r="F679" s="38"/>
      <c r="G679" s="38"/>
      <c r="H679" s="62"/>
      <c r="I679" s="67"/>
      <c r="K679" s="52"/>
      <c r="L679" s="52"/>
      <c r="M679" s="52"/>
      <c r="N679" s="52"/>
    </row>
    <row r="680" spans="1:14" s="15" customFormat="1" ht="12.75">
      <c r="A680"/>
      <c r="B680" t="s">
        <v>50</v>
      </c>
      <c r="C680"/>
      <c r="D680" s="4"/>
      <c r="E680" s="4"/>
      <c r="F680" s="38">
        <v>60000</v>
      </c>
      <c r="G680" s="38">
        <v>19520</v>
      </c>
      <c r="H680" s="62">
        <f>G680/F680</f>
        <v>0.3253333333333333</v>
      </c>
      <c r="I680" s="67">
        <f>G680/G$729</f>
        <v>0.0006143224909192356</v>
      </c>
      <c r="K680" s="52"/>
      <c r="L680" s="52"/>
      <c r="M680" s="52"/>
      <c r="N680" s="52"/>
    </row>
    <row r="681" spans="1:14" s="15" customFormat="1" ht="12.75">
      <c r="A681" s="16" t="s">
        <v>208</v>
      </c>
      <c r="B681" s="16" t="s">
        <v>164</v>
      </c>
      <c r="C681"/>
      <c r="D681" s="4"/>
      <c r="E681" s="4"/>
      <c r="F681" s="93">
        <f>F682</f>
        <v>50000</v>
      </c>
      <c r="G681" s="93">
        <f>G682</f>
        <v>0</v>
      </c>
      <c r="H681" s="89">
        <f>G681/F681</f>
        <v>0</v>
      </c>
      <c r="I681" s="99">
        <f>G681/G$729</f>
        <v>0</v>
      </c>
      <c r="K681" s="52"/>
      <c r="L681" s="52"/>
      <c r="M681" s="52"/>
      <c r="N681" s="52"/>
    </row>
    <row r="682" spans="1:14" s="15" customFormat="1" ht="12.75">
      <c r="A682"/>
      <c r="B682" t="s">
        <v>569</v>
      </c>
      <c r="C682"/>
      <c r="D682" s="4"/>
      <c r="E682" s="4"/>
      <c r="F682" s="38">
        <v>50000</v>
      </c>
      <c r="G682" s="38">
        <v>0</v>
      </c>
      <c r="H682" s="62">
        <f>G682/F682</f>
        <v>0</v>
      </c>
      <c r="I682" s="67">
        <f>G682/G$729</f>
        <v>0</v>
      </c>
      <c r="K682" s="52"/>
      <c r="L682" s="52"/>
      <c r="M682" s="52"/>
      <c r="N682" s="52"/>
    </row>
    <row r="683" spans="1:14" s="15" customFormat="1" ht="12.75">
      <c r="A683"/>
      <c r="B683"/>
      <c r="C683"/>
      <c r="D683" s="4"/>
      <c r="E683" s="4"/>
      <c r="F683" s="38"/>
      <c r="G683" s="38"/>
      <c r="H683" s="62"/>
      <c r="I683" s="67"/>
      <c r="K683" s="52"/>
      <c r="L683" s="52"/>
      <c r="M683" s="52"/>
      <c r="N683" s="52"/>
    </row>
    <row r="684" spans="1:14" s="15" customFormat="1" ht="12.75">
      <c r="A684" s="16" t="s">
        <v>191</v>
      </c>
      <c r="B684" s="16" t="s">
        <v>429</v>
      </c>
      <c r="C684" s="16"/>
      <c r="D684" s="17"/>
      <c r="E684" s="17"/>
      <c r="F684" s="44">
        <f>SUM(F685:F711)</f>
        <v>2248310.08</v>
      </c>
      <c r="G684" s="44">
        <f>SUM(G685:G711)</f>
        <v>1322864.8699999999</v>
      </c>
      <c r="H684" s="89">
        <f>G684/F684</f>
        <v>0.5883818614556938</v>
      </c>
      <c r="I684" s="99">
        <f>G684/G$729</f>
        <v>0.041632461172538465</v>
      </c>
      <c r="K684" s="52"/>
      <c r="L684" s="52"/>
      <c r="M684" s="52"/>
      <c r="N684" s="52"/>
    </row>
    <row r="685" spans="1:9" ht="12.75">
      <c r="A685" s="15"/>
      <c r="B685" s="28" t="s">
        <v>59</v>
      </c>
      <c r="C685" s="15"/>
      <c r="D685" s="20"/>
      <c r="E685" s="20"/>
      <c r="F685" s="52">
        <v>50000</v>
      </c>
      <c r="G685" s="52">
        <v>0</v>
      </c>
      <c r="H685" s="62">
        <f>G685/F685</f>
        <v>0</v>
      </c>
      <c r="I685" s="67">
        <f>G685/G$729</f>
        <v>0</v>
      </c>
    </row>
    <row r="686" spans="1:9" ht="12.75">
      <c r="A686" s="15"/>
      <c r="B686" s="15" t="s">
        <v>570</v>
      </c>
      <c r="C686" s="15"/>
      <c r="D686" s="20"/>
      <c r="E686" s="20"/>
      <c r="F686" s="52">
        <v>20500</v>
      </c>
      <c r="G686" s="52">
        <v>20459.4</v>
      </c>
      <c r="H686" s="62">
        <f>G686/F686</f>
        <v>0.998019512195122</v>
      </c>
      <c r="I686" s="67">
        <f>G686/G$729</f>
        <v>0.000643886760794724</v>
      </c>
    </row>
    <row r="687" spans="1:9" ht="12.75">
      <c r="A687" s="15"/>
      <c r="B687" s="15" t="s">
        <v>60</v>
      </c>
      <c r="C687" s="15"/>
      <c r="D687" s="20"/>
      <c r="E687" s="20"/>
      <c r="F687" s="52">
        <v>25000</v>
      </c>
      <c r="G687" s="52">
        <v>19398</v>
      </c>
      <c r="H687" s="62">
        <f>G687/F687</f>
        <v>0.77592</v>
      </c>
      <c r="I687" s="67">
        <f>G687/G$729</f>
        <v>0.0006104829753509905</v>
      </c>
    </row>
    <row r="688" spans="1:9" ht="12.75">
      <c r="A688" s="15"/>
      <c r="B688" s="15" t="s">
        <v>71</v>
      </c>
      <c r="C688" s="15"/>
      <c r="D688" s="20"/>
      <c r="E688" s="20"/>
      <c r="F688" s="52"/>
      <c r="G688" s="52"/>
      <c r="I688" s="67"/>
    </row>
    <row r="689" spans="1:9" ht="12.75">
      <c r="A689" s="15"/>
      <c r="B689" s="15" t="s">
        <v>72</v>
      </c>
      <c r="C689" s="15"/>
      <c r="D689" s="20"/>
      <c r="E689" s="20"/>
      <c r="F689" s="52">
        <v>560000</v>
      </c>
      <c r="G689" s="52">
        <v>439500</v>
      </c>
      <c r="H689" s="62">
        <f>G689/F689</f>
        <v>0.7848214285714286</v>
      </c>
      <c r="I689" s="67">
        <f>G689/G$729</f>
        <v>0.013831697477407997</v>
      </c>
    </row>
    <row r="690" spans="1:9" ht="12.75">
      <c r="A690" s="15"/>
      <c r="B690" s="15" t="s">
        <v>73</v>
      </c>
      <c r="C690" s="15"/>
      <c r="D690" s="20"/>
      <c r="E690" s="20"/>
      <c r="F690" s="52">
        <v>44042</v>
      </c>
      <c r="G690" s="52">
        <v>36100</v>
      </c>
      <c r="H690" s="62">
        <f>G690/F690</f>
        <v>0.819672131147541</v>
      </c>
      <c r="I690" s="67">
        <f>G690/G$729</f>
        <v>0.0011361189509315783</v>
      </c>
    </row>
    <row r="691" spans="1:9" ht="12.75">
      <c r="A691" s="15"/>
      <c r="B691" s="15" t="s">
        <v>61</v>
      </c>
      <c r="C691" s="15"/>
      <c r="D691" s="20"/>
      <c r="E691" s="20"/>
      <c r="F691" s="52"/>
      <c r="G691" s="52"/>
      <c r="I691" s="67"/>
    </row>
    <row r="692" spans="1:9" ht="12.75">
      <c r="A692" s="15"/>
      <c r="B692" s="15" t="s">
        <v>63</v>
      </c>
      <c r="C692" s="15"/>
      <c r="D692" s="20"/>
      <c r="E692" s="20"/>
      <c r="F692" s="52"/>
      <c r="G692" s="52"/>
      <c r="I692" s="67"/>
    </row>
    <row r="693" spans="1:9" ht="12.75">
      <c r="A693" s="15"/>
      <c r="B693" s="15" t="s">
        <v>62</v>
      </c>
      <c r="C693" s="15"/>
      <c r="D693" s="20"/>
      <c r="E693" s="20"/>
      <c r="F693" s="52">
        <v>10277</v>
      </c>
      <c r="G693" s="52">
        <v>6824</v>
      </c>
      <c r="H693" s="62">
        <f>G693/F693</f>
        <v>0.6640070059355843</v>
      </c>
      <c r="I693" s="67">
        <f>G693/G$729</f>
        <v>0.00021476110030906067</v>
      </c>
    </row>
    <row r="694" spans="1:9" ht="12.75">
      <c r="A694" s="15"/>
      <c r="B694" s="15" t="s">
        <v>65</v>
      </c>
      <c r="C694" s="15"/>
      <c r="D694" s="20"/>
      <c r="E694" s="20"/>
      <c r="F694" s="52"/>
      <c r="G694" s="52"/>
      <c r="I694" s="67"/>
    </row>
    <row r="695" spans="1:9" ht="12.75">
      <c r="A695" s="15"/>
      <c r="B695" s="15" t="s">
        <v>64</v>
      </c>
      <c r="C695" s="15"/>
      <c r="D695" s="20"/>
      <c r="E695" s="20"/>
      <c r="F695" s="52">
        <v>18000</v>
      </c>
      <c r="G695" s="52">
        <v>18000</v>
      </c>
      <c r="H695" s="62">
        <f>G695/F695</f>
        <v>1</v>
      </c>
      <c r="I695" s="67">
        <f>G695/G$729</f>
        <v>0.0005664859035115903</v>
      </c>
    </row>
    <row r="696" spans="1:9" ht="12.75">
      <c r="A696" s="15"/>
      <c r="B696" s="15"/>
      <c r="C696" s="15"/>
      <c r="D696" s="20"/>
      <c r="E696" s="20"/>
      <c r="F696" s="52"/>
      <c r="G696" s="52"/>
      <c r="I696" s="67"/>
    </row>
    <row r="697" spans="1:9" ht="12.75">
      <c r="A697" s="15"/>
      <c r="B697" s="15"/>
      <c r="C697" s="15"/>
      <c r="D697" s="20"/>
      <c r="E697" s="20"/>
      <c r="F697" s="52"/>
      <c r="G697" s="52"/>
      <c r="I697" s="67"/>
    </row>
    <row r="698" spans="1:9" ht="12.75">
      <c r="A698" s="15"/>
      <c r="B698" s="15" t="s">
        <v>66</v>
      </c>
      <c r="C698" s="15"/>
      <c r="D698" s="20"/>
      <c r="E698" s="20"/>
      <c r="F698" s="52"/>
      <c r="G698" s="52"/>
      <c r="I698" s="67"/>
    </row>
    <row r="699" spans="1:9" ht="12.75">
      <c r="A699" s="15"/>
      <c r="B699" s="15" t="s">
        <v>67</v>
      </c>
      <c r="C699" s="15"/>
      <c r="D699" s="20"/>
      <c r="E699" s="20"/>
      <c r="F699" s="52"/>
      <c r="G699" s="52"/>
      <c r="I699" s="67"/>
    </row>
    <row r="700" spans="1:9" ht="12.75">
      <c r="A700" s="15"/>
      <c r="B700" s="15" t="s">
        <v>68</v>
      </c>
      <c r="C700" s="15"/>
      <c r="D700" s="20"/>
      <c r="E700" s="20"/>
      <c r="F700" s="52">
        <v>10000</v>
      </c>
      <c r="G700" s="52">
        <v>7450.75</v>
      </c>
      <c r="H700" s="62">
        <f>G700/F700</f>
        <v>0.745075</v>
      </c>
      <c r="I700" s="67">
        <f>G700/G$729</f>
        <v>0.00023448582475494342</v>
      </c>
    </row>
    <row r="701" spans="1:9" ht="12.75">
      <c r="A701" s="15"/>
      <c r="B701" s="15" t="s">
        <v>69</v>
      </c>
      <c r="C701" s="15"/>
      <c r="D701" s="20"/>
      <c r="E701" s="20"/>
      <c r="F701" s="52"/>
      <c r="G701" s="52"/>
      <c r="I701" s="67"/>
    </row>
    <row r="702" spans="1:9" ht="12.75">
      <c r="A702" s="15"/>
      <c r="B702" s="15" t="s">
        <v>70</v>
      </c>
      <c r="C702" s="15"/>
      <c r="D702" s="20"/>
      <c r="E702" s="20"/>
      <c r="F702" s="52">
        <v>19000</v>
      </c>
      <c r="G702" s="52">
        <v>17792.44</v>
      </c>
      <c r="H702" s="62">
        <f>G702/F702</f>
        <v>0.9364442105263158</v>
      </c>
      <c r="I702" s="67">
        <f>G702/G$729</f>
        <v>0.0005599536916153199</v>
      </c>
    </row>
    <row r="703" spans="1:9" ht="12.75">
      <c r="A703" s="15"/>
      <c r="B703" s="15" t="s">
        <v>74</v>
      </c>
      <c r="C703" s="15"/>
      <c r="D703" s="20"/>
      <c r="E703" s="20"/>
      <c r="F703" s="52">
        <v>700000</v>
      </c>
      <c r="G703" s="52">
        <v>31909.96</v>
      </c>
      <c r="H703" s="62">
        <f>G703/F703</f>
        <v>0.045585657142857144</v>
      </c>
      <c r="I703" s="67">
        <f>G703/G$729</f>
        <v>0.0010042523623121503</v>
      </c>
    </row>
    <row r="704" spans="1:9" ht="12.75">
      <c r="A704" s="15"/>
      <c r="B704" s="15" t="s">
        <v>75</v>
      </c>
      <c r="C704" s="15"/>
      <c r="D704" s="20"/>
      <c r="E704" s="20"/>
      <c r="F704" s="52">
        <v>569716.08</v>
      </c>
      <c r="G704" s="52">
        <v>569716.08</v>
      </c>
      <c r="H704" s="62">
        <f>G704/F704</f>
        <v>1</v>
      </c>
      <c r="I704" s="67">
        <f>G704/G$729</f>
        <v>0.017929784906882303</v>
      </c>
    </row>
    <row r="705" spans="1:9" ht="12.75">
      <c r="A705" s="15"/>
      <c r="B705" s="15" t="s">
        <v>76</v>
      </c>
      <c r="C705" s="15"/>
      <c r="D705" s="20"/>
      <c r="E705" s="20"/>
      <c r="F705" s="52"/>
      <c r="G705" s="52"/>
      <c r="I705" s="67"/>
    </row>
    <row r="706" spans="1:9" ht="12.75">
      <c r="A706" s="15"/>
      <c r="B706" s="15" t="s">
        <v>571</v>
      </c>
      <c r="C706" s="15"/>
      <c r="D706" s="20"/>
      <c r="E706" s="20"/>
      <c r="F706" s="52">
        <v>90000</v>
      </c>
      <c r="G706" s="52">
        <v>89966.88</v>
      </c>
      <c r="H706" s="62">
        <f>G706/F706</f>
        <v>0.9996320000000001</v>
      </c>
      <c r="I706" s="67">
        <f>G706/G$729</f>
        <v>0.0028313871834954904</v>
      </c>
    </row>
    <row r="707" spans="1:9" ht="12.75">
      <c r="A707" s="15"/>
      <c r="B707" s="15" t="s">
        <v>77</v>
      </c>
      <c r="C707" s="15"/>
      <c r="D707" s="20"/>
      <c r="E707" s="20"/>
      <c r="F707" s="52"/>
      <c r="G707" s="52"/>
      <c r="I707" s="67"/>
    </row>
    <row r="708" spans="1:9" ht="12.75">
      <c r="A708"/>
      <c r="B708" t="s">
        <v>572</v>
      </c>
      <c r="E708" s="4"/>
      <c r="F708" s="38">
        <v>6775</v>
      </c>
      <c r="G708" s="38">
        <v>6775</v>
      </c>
      <c r="H708" s="62">
        <f>G708/F708</f>
        <v>1</v>
      </c>
      <c r="I708" s="67">
        <f>G708/G$729</f>
        <v>0.00021321899979394578</v>
      </c>
    </row>
    <row r="709" spans="1:9" ht="12.75">
      <c r="A709"/>
      <c r="B709" t="s">
        <v>78</v>
      </c>
      <c r="E709" s="4"/>
      <c r="F709" s="38">
        <v>70000</v>
      </c>
      <c r="G709" s="38">
        <v>58972.36</v>
      </c>
      <c r="H709" s="62">
        <f>G709/F709</f>
        <v>0.8424622857142857</v>
      </c>
      <c r="I709" s="67">
        <f>G709/G$729</f>
        <v>0.001855945035378376</v>
      </c>
    </row>
    <row r="710" spans="1:9" ht="12.75">
      <c r="A710"/>
      <c r="B710" t="s">
        <v>79</v>
      </c>
      <c r="E710" s="4"/>
      <c r="I710" s="67"/>
    </row>
    <row r="711" spans="1:9" ht="12.75">
      <c r="A711"/>
      <c r="B711" t="s">
        <v>554</v>
      </c>
      <c r="E711" s="4"/>
      <c r="F711" s="38">
        <v>55000</v>
      </c>
      <c r="G711" s="38">
        <v>0</v>
      </c>
      <c r="H711" s="62">
        <f>G711/F711</f>
        <v>0</v>
      </c>
      <c r="I711" s="67">
        <f>G711/G$729</f>
        <v>0</v>
      </c>
    </row>
    <row r="712" spans="1:9" ht="12.75">
      <c r="A712"/>
      <c r="E712" s="4"/>
      <c r="I712" s="67"/>
    </row>
    <row r="713" spans="1:9" ht="12.75">
      <c r="A713" s="2" t="s">
        <v>573</v>
      </c>
      <c r="B713" s="2" t="s">
        <v>574</v>
      </c>
      <c r="C713" s="2"/>
      <c r="D713" s="8"/>
      <c r="E713" s="8"/>
      <c r="F713" s="93">
        <f>SUM(F715:F726)</f>
        <v>640500</v>
      </c>
      <c r="G713" s="93">
        <f>SUM(G715:G726)</f>
        <v>339724</v>
      </c>
      <c r="H713" s="89">
        <f>G713/F713</f>
        <v>0.5304043715846994</v>
      </c>
      <c r="I713" s="99">
        <f>G713/G$729</f>
        <v>0.010691603171365083</v>
      </c>
    </row>
    <row r="714" spans="1:9" ht="12.75">
      <c r="A714"/>
      <c r="B714" t="s">
        <v>575</v>
      </c>
      <c r="E714" s="4"/>
      <c r="I714" s="67"/>
    </row>
    <row r="715" spans="1:14" s="16" customFormat="1" ht="12.75">
      <c r="A715"/>
      <c r="B715" t="s">
        <v>576</v>
      </c>
      <c r="C715"/>
      <c r="D715" s="4"/>
      <c r="E715" s="4"/>
      <c r="F715" s="38">
        <v>100000</v>
      </c>
      <c r="G715" s="38">
        <v>18056</v>
      </c>
      <c r="H715" s="62">
        <f>G715/F715</f>
        <v>0.18056</v>
      </c>
      <c r="I715" s="67">
        <f>G715/G$729</f>
        <v>0.0005682483041002931</v>
      </c>
      <c r="K715" s="44"/>
      <c r="L715" s="44"/>
      <c r="M715" s="44"/>
      <c r="N715" s="44"/>
    </row>
    <row r="716" spans="1:14" s="16" customFormat="1" ht="12.75">
      <c r="A716"/>
      <c r="B716" t="s">
        <v>80</v>
      </c>
      <c r="C716"/>
      <c r="D716" s="4"/>
      <c r="E716" s="4"/>
      <c r="F716" s="38"/>
      <c r="G716" s="38"/>
      <c r="H716" s="62"/>
      <c r="I716" s="67"/>
      <c r="K716" s="44"/>
      <c r="L716" s="44"/>
      <c r="M716" s="44"/>
      <c r="N716" s="44"/>
    </row>
    <row r="717" spans="1:14" s="16" customFormat="1" ht="12.75">
      <c r="A717"/>
      <c r="B717" t="s">
        <v>81</v>
      </c>
      <c r="C717"/>
      <c r="D717" s="4"/>
      <c r="E717" s="4"/>
      <c r="F717" s="38">
        <v>108000</v>
      </c>
      <c r="G717" s="38">
        <v>0</v>
      </c>
      <c r="H717" s="62">
        <f>G717/F717</f>
        <v>0</v>
      </c>
      <c r="I717" s="67">
        <f>G717/G$729</f>
        <v>0</v>
      </c>
      <c r="K717" s="44"/>
      <c r="L717" s="44"/>
      <c r="M717" s="44"/>
      <c r="N717" s="44"/>
    </row>
    <row r="718" spans="1:9" ht="12.75">
      <c r="A718"/>
      <c r="B718" t="s">
        <v>82</v>
      </c>
      <c r="E718" s="4"/>
      <c r="I718" s="67"/>
    </row>
    <row r="719" spans="1:9" ht="12.75">
      <c r="A719"/>
      <c r="B719" t="s">
        <v>577</v>
      </c>
      <c r="E719" s="4"/>
      <c r="I719" s="67"/>
    </row>
    <row r="720" spans="1:9" ht="12.75">
      <c r="A720"/>
      <c r="B720" t="s">
        <v>578</v>
      </c>
      <c r="E720" s="4"/>
      <c r="F720" s="38">
        <v>94300</v>
      </c>
      <c r="G720" s="38">
        <v>0</v>
      </c>
      <c r="H720" s="62">
        <f>G720/F720</f>
        <v>0</v>
      </c>
      <c r="I720" s="67">
        <f>G720/G$729</f>
        <v>0</v>
      </c>
    </row>
    <row r="721" spans="1:9" ht="12.75">
      <c r="A721"/>
      <c r="B721" t="s">
        <v>83</v>
      </c>
      <c r="E721" s="4"/>
      <c r="I721" s="67"/>
    </row>
    <row r="722" spans="1:9" ht="12.75">
      <c r="A722"/>
      <c r="B722" t="s">
        <v>123</v>
      </c>
      <c r="E722" s="4"/>
      <c r="I722" s="67"/>
    </row>
    <row r="723" spans="1:9" ht="12.75">
      <c r="A723"/>
      <c r="B723" t="s">
        <v>124</v>
      </c>
      <c r="E723" s="4"/>
      <c r="F723" s="38">
        <v>272000</v>
      </c>
      <c r="G723" s="38">
        <v>255468</v>
      </c>
      <c r="H723" s="62">
        <f>G723/F723</f>
        <v>0.9392205882352941</v>
      </c>
      <c r="I723" s="67">
        <f>G723/G$729</f>
        <v>0.008039945599905497</v>
      </c>
    </row>
    <row r="724" spans="1:9" ht="12.75">
      <c r="A724"/>
      <c r="B724" t="s">
        <v>84</v>
      </c>
      <c r="E724" s="4"/>
      <c r="F724" s="38">
        <v>12200</v>
      </c>
      <c r="G724" s="38">
        <v>12200</v>
      </c>
      <c r="H724" s="62">
        <f>G724/F724</f>
        <v>1</v>
      </c>
      <c r="I724" s="67">
        <f>G724/G$729</f>
        <v>0.0003839515568245223</v>
      </c>
    </row>
    <row r="725" spans="1:9" ht="12.75">
      <c r="A725"/>
      <c r="B725" t="s">
        <v>85</v>
      </c>
      <c r="E725" s="4"/>
      <c r="F725" s="38">
        <v>9000</v>
      </c>
      <c r="G725" s="38">
        <v>9000</v>
      </c>
      <c r="H725" s="62">
        <f>G725/F725</f>
        <v>1</v>
      </c>
      <c r="I725" s="67">
        <f>G725/G$729</f>
        <v>0.00028324295175579517</v>
      </c>
    </row>
    <row r="726" spans="1:9" ht="12.75">
      <c r="A726"/>
      <c r="B726" t="s">
        <v>86</v>
      </c>
      <c r="E726" s="4"/>
      <c r="F726" s="38">
        <v>45000</v>
      </c>
      <c r="G726" s="38">
        <v>45000</v>
      </c>
      <c r="H726" s="62">
        <f>G726/F726</f>
        <v>1</v>
      </c>
      <c r="I726" s="67">
        <f>G726/G$729</f>
        <v>0.0014162147587789757</v>
      </c>
    </row>
    <row r="727" spans="1:9" ht="12.75">
      <c r="A727"/>
      <c r="E727" s="4"/>
      <c r="I727" s="67"/>
    </row>
    <row r="728" spans="6:9" ht="12.75" customHeight="1">
      <c r="F728" s="47"/>
      <c r="G728" s="47"/>
      <c r="I728" s="67"/>
    </row>
    <row r="729" spans="1:14" s="1" customFormat="1" ht="15">
      <c r="A729" s="75"/>
      <c r="B729" s="1" t="s">
        <v>168</v>
      </c>
      <c r="D729" s="11"/>
      <c r="F729" s="46">
        <f>F595+F294</f>
        <v>36276927.68</v>
      </c>
      <c r="G729" s="46">
        <f>G595+G294</f>
        <v>31774841.86</v>
      </c>
      <c r="H729" s="89">
        <f>G729/F729</f>
        <v>0.8758967170617906</v>
      </c>
      <c r="I729" s="99">
        <f>G729/G$729</f>
        <v>1</v>
      </c>
      <c r="K729" s="95"/>
      <c r="L729" s="95"/>
      <c r="M729" s="95"/>
      <c r="N729" s="95"/>
    </row>
    <row r="730" spans="1:14" s="1" customFormat="1" ht="15">
      <c r="A730" s="75"/>
      <c r="D730" s="11"/>
      <c r="F730" s="46"/>
      <c r="G730" s="46"/>
      <c r="H730" s="89"/>
      <c r="I730" s="99"/>
      <c r="K730" s="95"/>
      <c r="L730" s="95"/>
      <c r="M730" s="95"/>
      <c r="N730" s="95"/>
    </row>
    <row r="731" spans="1:14" s="83" customFormat="1" ht="15">
      <c r="A731" s="86" t="s">
        <v>375</v>
      </c>
      <c r="D731" s="84"/>
      <c r="F731" s="41"/>
      <c r="G731" s="41"/>
      <c r="H731" s="85"/>
      <c r="I731" s="85"/>
      <c r="K731" s="41"/>
      <c r="L731" s="41"/>
      <c r="M731" s="41"/>
      <c r="N731" s="41"/>
    </row>
    <row r="732" spans="1:14" s="21" customFormat="1" ht="15">
      <c r="A732" s="74"/>
      <c r="D732" s="22"/>
      <c r="F732" s="56" t="s">
        <v>237</v>
      </c>
      <c r="G732" s="56" t="s">
        <v>238</v>
      </c>
      <c r="H732" s="62"/>
      <c r="I732" s="62"/>
      <c r="K732" s="55"/>
      <c r="L732" s="55"/>
      <c r="M732" s="55"/>
      <c r="N732" s="55"/>
    </row>
    <row r="733" spans="1:14" s="33" customFormat="1" ht="15">
      <c r="A733" s="75" t="s">
        <v>191</v>
      </c>
      <c r="B733" s="33" t="s">
        <v>218</v>
      </c>
      <c r="D733" s="34"/>
      <c r="E733" s="34"/>
      <c r="F733" s="37"/>
      <c r="G733" s="37"/>
      <c r="H733" s="62"/>
      <c r="I733" s="62"/>
      <c r="K733" s="37"/>
      <c r="L733" s="37"/>
      <c r="M733" s="37"/>
      <c r="N733" s="37"/>
    </row>
    <row r="734" spans="1:14" s="33" customFormat="1" ht="15">
      <c r="A734" s="75"/>
      <c r="D734" s="34"/>
      <c r="E734" s="34"/>
      <c r="F734" s="37"/>
      <c r="G734" s="37"/>
      <c r="H734" s="62"/>
      <c r="I734" s="62"/>
      <c r="K734" s="37"/>
      <c r="L734" s="37"/>
      <c r="M734" s="37"/>
      <c r="N734" s="37"/>
    </row>
    <row r="735" spans="1:14" s="29" customFormat="1" ht="12.75">
      <c r="A735" s="74"/>
      <c r="B735" s="29" t="s">
        <v>592</v>
      </c>
      <c r="D735" s="30"/>
      <c r="E735" s="30"/>
      <c r="F735" s="57">
        <v>65190.72</v>
      </c>
      <c r="G735" s="57">
        <v>65190.72</v>
      </c>
      <c r="H735" s="68"/>
      <c r="I735" s="68"/>
      <c r="K735" s="57"/>
      <c r="L735" s="57"/>
      <c r="M735" s="57"/>
      <c r="N735" s="57"/>
    </row>
    <row r="736" ht="12.75">
      <c r="E736" s="4"/>
    </row>
    <row r="737" spans="1:14" s="29" customFormat="1" ht="12.75">
      <c r="A737" s="74"/>
      <c r="B737" s="29" t="s">
        <v>216</v>
      </c>
      <c r="D737" s="30"/>
      <c r="E737" s="30"/>
      <c r="F737" s="57">
        <v>3268277</v>
      </c>
      <c r="G737" s="57">
        <v>3025579.88</v>
      </c>
      <c r="H737" s="68"/>
      <c r="I737" s="68"/>
      <c r="J737" s="30"/>
      <c r="K737" s="57"/>
      <c r="L737" s="57"/>
      <c r="M737" s="57"/>
      <c r="N737" s="57"/>
    </row>
    <row r="738" spans="2:5" ht="12.75">
      <c r="B738" t="s">
        <v>154</v>
      </c>
      <c r="E738" s="4"/>
    </row>
    <row r="739" spans="2:7" ht="12.75">
      <c r="B739" t="s">
        <v>219</v>
      </c>
      <c r="E739" s="4"/>
      <c r="G739" s="38">
        <v>1148238.28</v>
      </c>
    </row>
    <row r="740" spans="2:7" ht="12.75">
      <c r="B740" s="28" t="s">
        <v>220</v>
      </c>
      <c r="E740" s="4"/>
      <c r="G740" s="38">
        <v>1624782.71</v>
      </c>
    </row>
    <row r="741" spans="2:5" ht="12.75">
      <c r="B741" t="s">
        <v>351</v>
      </c>
      <c r="E741" s="4"/>
    </row>
    <row r="742" spans="2:5" ht="12.75">
      <c r="B742" t="s">
        <v>393</v>
      </c>
      <c r="E742" s="4"/>
    </row>
    <row r="743" spans="2:5" ht="12.75">
      <c r="B743" t="s">
        <v>394</v>
      </c>
      <c r="E743" s="4"/>
    </row>
    <row r="744" spans="2:5" ht="12.75">
      <c r="B744" t="s">
        <v>376</v>
      </c>
      <c r="E744" s="4"/>
    </row>
    <row r="745" spans="2:10" ht="12.75">
      <c r="B745" t="s">
        <v>395</v>
      </c>
      <c r="E745" s="4"/>
      <c r="G745" s="38">
        <v>186113.99</v>
      </c>
      <c r="J745" s="38"/>
    </row>
    <row r="746" spans="2:10" ht="12.75">
      <c r="B746" t="s">
        <v>93</v>
      </c>
      <c r="E746" s="4"/>
      <c r="F746" s="38">
        <v>57277</v>
      </c>
      <c r="G746" s="38">
        <v>50067.19</v>
      </c>
      <c r="J746" s="38"/>
    </row>
    <row r="747" ht="12.75">
      <c r="E747" s="4"/>
    </row>
    <row r="748" spans="1:14" s="29" customFormat="1" ht="12.75">
      <c r="A748" s="74"/>
      <c r="B748" s="29" t="s">
        <v>275</v>
      </c>
      <c r="D748" s="30"/>
      <c r="E748" s="30"/>
      <c r="F748" s="57">
        <v>3268277</v>
      </c>
      <c r="G748" s="57">
        <v>3041016.5</v>
      </c>
      <c r="H748" s="68"/>
      <c r="I748" s="68"/>
      <c r="K748" s="57"/>
      <c r="L748" s="57"/>
      <c r="M748" s="57"/>
      <c r="N748" s="57"/>
    </row>
    <row r="749" spans="2:5" ht="12.75">
      <c r="B749" t="s">
        <v>217</v>
      </c>
      <c r="E749" s="4"/>
    </row>
    <row r="750" spans="2:7" ht="12.75">
      <c r="B750" t="s">
        <v>94</v>
      </c>
      <c r="E750" s="4"/>
      <c r="G750" s="38">
        <f>980895.77+76181.68+177624.16+25167.72+37911</f>
        <v>1297780.3299999998</v>
      </c>
    </row>
    <row r="751" spans="2:5" ht="12.75">
      <c r="B751" t="s">
        <v>221</v>
      </c>
      <c r="E751" s="4"/>
    </row>
    <row r="752" spans="2:5" ht="12.75">
      <c r="B752" t="s">
        <v>222</v>
      </c>
      <c r="E752" s="4"/>
    </row>
    <row r="753" ht="12.75">
      <c r="B753" t="s">
        <v>223</v>
      </c>
    </row>
    <row r="754" spans="2:7" ht="12.75">
      <c r="B754" t="s">
        <v>224</v>
      </c>
      <c r="E754" s="4"/>
      <c r="G754" s="38">
        <v>335903.52</v>
      </c>
    </row>
    <row r="755" spans="2:7" ht="12.75">
      <c r="B755" t="s">
        <v>310</v>
      </c>
      <c r="E755" s="4"/>
      <c r="G755" s="38">
        <v>344113.37</v>
      </c>
    </row>
    <row r="756" spans="2:5" ht="12.75">
      <c r="B756" t="s">
        <v>286</v>
      </c>
      <c r="E756" s="4"/>
    </row>
    <row r="757" spans="2:5" ht="12.75">
      <c r="B757" t="s">
        <v>287</v>
      </c>
      <c r="E757" s="4"/>
    </row>
    <row r="758" spans="2:7" ht="12.75">
      <c r="B758" t="s">
        <v>292</v>
      </c>
      <c r="E758" s="4"/>
      <c r="G758" s="38">
        <v>136502.65</v>
      </c>
    </row>
    <row r="759" spans="2:5" ht="12.75">
      <c r="B759" t="s">
        <v>288</v>
      </c>
      <c r="E759" s="4"/>
    </row>
    <row r="760" spans="2:5" ht="12.75">
      <c r="B760" t="s">
        <v>289</v>
      </c>
      <c r="E760" s="4"/>
    </row>
    <row r="761" spans="2:5" ht="12.75">
      <c r="B761" t="s">
        <v>290</v>
      </c>
      <c r="E761" s="4"/>
    </row>
    <row r="762" spans="2:7" ht="12.75">
      <c r="B762" t="s">
        <v>291</v>
      </c>
      <c r="E762" s="4"/>
      <c r="G762" s="38">
        <f>1521.4+280093.64+7692.27+6753.4</f>
        <v>296060.7100000001</v>
      </c>
    </row>
    <row r="763" spans="2:5" ht="12.75">
      <c r="B763" t="s">
        <v>225</v>
      </c>
      <c r="E763" s="4"/>
    </row>
    <row r="764" spans="2:7" ht="12.75">
      <c r="B764" t="s">
        <v>226</v>
      </c>
      <c r="E764" s="4"/>
      <c r="G764" s="38">
        <v>345192</v>
      </c>
    </row>
    <row r="765" spans="2:5" ht="12.75">
      <c r="B765" t="s">
        <v>227</v>
      </c>
      <c r="E765" s="4"/>
    </row>
    <row r="766" spans="2:7" ht="12.75">
      <c r="B766" t="s">
        <v>228</v>
      </c>
      <c r="E766" s="4"/>
      <c r="G766" s="38">
        <v>123265.65</v>
      </c>
    </row>
    <row r="767" spans="2:7" ht="12.75">
      <c r="B767" t="s">
        <v>311</v>
      </c>
      <c r="E767" s="4"/>
      <c r="G767" s="38">
        <v>25288.68</v>
      </c>
    </row>
    <row r="768" spans="2:7" ht="12.75">
      <c r="B768" t="s">
        <v>430</v>
      </c>
      <c r="E768" s="4"/>
      <c r="G768" s="38">
        <v>27576</v>
      </c>
    </row>
    <row r="769" spans="5:10" ht="12.75">
      <c r="E769" s="4"/>
      <c r="J769" s="38"/>
    </row>
    <row r="770" spans="2:7" ht="12.75">
      <c r="B770" s="29" t="s">
        <v>301</v>
      </c>
      <c r="G770" s="57">
        <v>0</v>
      </c>
    </row>
    <row r="771" spans="2:7" ht="12.75">
      <c r="B771" s="29"/>
      <c r="G771" s="57"/>
    </row>
    <row r="772" spans="1:14" s="29" customFormat="1" ht="12.75">
      <c r="A772" s="74"/>
      <c r="B772" s="29" t="s">
        <v>95</v>
      </c>
      <c r="D772" s="30"/>
      <c r="F772" s="57">
        <v>65190.72</v>
      </c>
      <c r="G772" s="57">
        <f>G735+G737-G748-G770</f>
        <v>49754.10000000009</v>
      </c>
      <c r="H772" s="68"/>
      <c r="I772" s="68"/>
      <c r="K772" s="57"/>
      <c r="L772" s="57"/>
      <c r="M772" s="57"/>
      <c r="N772" s="57"/>
    </row>
    <row r="773" ht="12.75">
      <c r="B773" t="s">
        <v>96</v>
      </c>
    </row>
    <row r="774" ht="12.75">
      <c r="B774" t="s">
        <v>97</v>
      </c>
    </row>
    <row r="775" spans="2:3" ht="12.75">
      <c r="B775" t="s">
        <v>98</v>
      </c>
      <c r="C775" s="38">
        <f>G772</f>
        <v>49754.10000000009</v>
      </c>
    </row>
    <row r="776" ht="12.75">
      <c r="B776" t="s">
        <v>101</v>
      </c>
    </row>
    <row r="777" ht="12.75">
      <c r="B777" t="s">
        <v>99</v>
      </c>
    </row>
    <row r="778" ht="12.75">
      <c r="B778" t="s">
        <v>100</v>
      </c>
    </row>
    <row r="779" spans="1:14" s="29" customFormat="1" ht="12.75">
      <c r="A779" s="74"/>
      <c r="D779" s="30"/>
      <c r="F779" s="57"/>
      <c r="G779" s="57"/>
      <c r="H779" s="68"/>
      <c r="I779" s="68"/>
      <c r="K779" s="57"/>
      <c r="L779" s="57"/>
      <c r="M779" s="57"/>
      <c r="N779" s="57"/>
    </row>
    <row r="780" spans="1:14" s="33" customFormat="1" ht="15">
      <c r="A780" s="75" t="s">
        <v>191</v>
      </c>
      <c r="B780" s="33" t="s">
        <v>229</v>
      </c>
      <c r="D780" s="34"/>
      <c r="F780" s="37"/>
      <c r="G780" s="37"/>
      <c r="H780" s="62"/>
      <c r="I780" s="62"/>
      <c r="K780" s="37"/>
      <c r="L780" s="37"/>
      <c r="M780" s="37"/>
      <c r="N780" s="37"/>
    </row>
    <row r="782" spans="1:14" s="29" customFormat="1" ht="12.75">
      <c r="A782" s="74"/>
      <c r="B782" s="29" t="s">
        <v>592</v>
      </c>
      <c r="D782" s="30"/>
      <c r="F782" s="57">
        <v>-99564.9</v>
      </c>
      <c r="G782" s="57">
        <v>-99564.9</v>
      </c>
      <c r="H782" s="68"/>
      <c r="I782" s="68"/>
      <c r="K782" s="57"/>
      <c r="L782" s="57"/>
      <c r="M782" s="57"/>
      <c r="N782" s="57"/>
    </row>
    <row r="784" spans="1:14" s="29" customFormat="1" ht="12.75">
      <c r="A784" s="74"/>
      <c r="B784" s="29" t="s">
        <v>216</v>
      </c>
      <c r="D784" s="30"/>
      <c r="F784" s="57">
        <v>2984042</v>
      </c>
      <c r="G784" s="57">
        <v>2868956.55</v>
      </c>
      <c r="H784" s="68"/>
      <c r="I784" s="68"/>
      <c r="K784" s="57"/>
      <c r="L784" s="57"/>
      <c r="M784" s="57"/>
      <c r="N784" s="57"/>
    </row>
    <row r="785" ht="12.75">
      <c r="B785" t="s">
        <v>587</v>
      </c>
    </row>
    <row r="786" ht="12.75">
      <c r="B786" t="s">
        <v>230</v>
      </c>
    </row>
    <row r="787" ht="12.75">
      <c r="B787" t="s">
        <v>398</v>
      </c>
    </row>
    <row r="788" spans="2:7" ht="12.75">
      <c r="B788" t="s">
        <v>231</v>
      </c>
      <c r="E788" s="4"/>
      <c r="G788" s="38">
        <f>890769.24+879857.72+86532.62</f>
        <v>1857159.58</v>
      </c>
    </row>
    <row r="789" spans="2:5" ht="12.75">
      <c r="B789" t="s">
        <v>584</v>
      </c>
      <c r="E789" s="4"/>
    </row>
    <row r="790" spans="2:7" ht="12.75">
      <c r="B790" t="s">
        <v>105</v>
      </c>
      <c r="E790" s="4"/>
      <c r="G790" s="38">
        <f>20012.27+25059.66</f>
        <v>45071.93</v>
      </c>
    </row>
    <row r="791" spans="2:5" ht="12.75">
      <c r="B791" t="s">
        <v>585</v>
      </c>
      <c r="E791" s="4"/>
    </row>
    <row r="792" spans="2:7" ht="12.75">
      <c r="B792" t="s">
        <v>586</v>
      </c>
      <c r="E792" s="4"/>
      <c r="G792" s="38">
        <f>80212.45+22431.22+39124.52</f>
        <v>141768.19</v>
      </c>
    </row>
    <row r="793" spans="2:7" ht="12.75">
      <c r="B793" t="s">
        <v>588</v>
      </c>
      <c r="E793" s="4"/>
      <c r="G793" s="38">
        <v>38790.56</v>
      </c>
    </row>
    <row r="794" spans="2:7" ht="12.75">
      <c r="B794" t="s">
        <v>133</v>
      </c>
      <c r="E794" s="4"/>
      <c r="G794" s="38">
        <v>32519.73</v>
      </c>
    </row>
    <row r="795" spans="2:7" ht="12.75">
      <c r="B795" t="s">
        <v>583</v>
      </c>
      <c r="E795" s="4"/>
      <c r="F795" s="38">
        <v>150000</v>
      </c>
      <c r="G795" s="38">
        <v>96253.7</v>
      </c>
    </row>
    <row r="796" spans="2:7" ht="12.75">
      <c r="B796" t="s">
        <v>104</v>
      </c>
      <c r="E796" s="4"/>
      <c r="F796" s="38">
        <v>604042</v>
      </c>
      <c r="G796" s="38">
        <v>475600</v>
      </c>
    </row>
    <row r="797" spans="5:10" ht="12.75">
      <c r="E797" s="4"/>
      <c r="J797" s="38"/>
    </row>
    <row r="798" spans="1:14" s="29" customFormat="1" ht="12.75">
      <c r="A798" s="74"/>
      <c r="B798" s="29" t="s">
        <v>275</v>
      </c>
      <c r="D798" s="30"/>
      <c r="E798" s="30"/>
      <c r="F798" s="57">
        <v>2884233.63</v>
      </c>
      <c r="G798" s="57">
        <v>2777717.79</v>
      </c>
      <c r="H798" s="68"/>
      <c r="I798" s="68"/>
      <c r="K798" s="57"/>
      <c r="L798" s="57"/>
      <c r="M798" s="57"/>
      <c r="N798" s="57"/>
    </row>
    <row r="799" spans="1:14" s="29" customFormat="1" ht="12.75">
      <c r="A799" s="74"/>
      <c r="B799" t="s">
        <v>134</v>
      </c>
      <c r="D799" s="57">
        <f>D802+D805+D807+D810</f>
        <v>109499.05000000002</v>
      </c>
      <c r="E799" s="30" t="s">
        <v>135</v>
      </c>
      <c r="F799" s="57"/>
      <c r="G799" s="57"/>
      <c r="H799" s="68"/>
      <c r="I799" s="68"/>
      <c r="K799" s="57"/>
      <c r="L799" s="57"/>
      <c r="M799" s="57"/>
      <c r="N799" s="57"/>
    </row>
    <row r="800" spans="2:5" ht="12.75">
      <c r="B800" t="s">
        <v>217</v>
      </c>
      <c r="E800" s="4"/>
    </row>
    <row r="801" spans="2:7" ht="12.75">
      <c r="B801" t="s">
        <v>106</v>
      </c>
      <c r="E801" s="4"/>
      <c r="G801" s="38">
        <f>822678.19+54190.02+161804.87+22644.8+170185.1</f>
        <v>1231502.98</v>
      </c>
    </row>
    <row r="802" spans="2:5" ht="12.75">
      <c r="B802" t="s">
        <v>134</v>
      </c>
      <c r="D802" s="38">
        <f>58166.64+3538+4328.38+11080.43+1531.55</f>
        <v>78645.00000000001</v>
      </c>
      <c r="E802" s="4" t="s">
        <v>135</v>
      </c>
    </row>
    <row r="803" spans="2:5" ht="12.75">
      <c r="B803" t="s">
        <v>232</v>
      </c>
      <c r="E803" s="4"/>
    </row>
    <row r="804" spans="2:7" ht="12.75">
      <c r="B804" t="s">
        <v>377</v>
      </c>
      <c r="E804" s="4"/>
      <c r="G804" s="38">
        <v>252451.07</v>
      </c>
    </row>
    <row r="805" spans="2:5" ht="12.75">
      <c r="B805" t="s">
        <v>134</v>
      </c>
      <c r="D805" s="38">
        <v>1415.64</v>
      </c>
      <c r="E805" s="4" t="s">
        <v>135</v>
      </c>
    </row>
    <row r="806" spans="2:7" ht="12.75">
      <c r="B806" t="s">
        <v>285</v>
      </c>
      <c r="E806" s="4"/>
      <c r="G806" s="38">
        <v>34483.3</v>
      </c>
    </row>
    <row r="807" spans="2:5" ht="12.75">
      <c r="B807" t="s">
        <v>134</v>
      </c>
      <c r="D807" s="38">
        <v>11117.42</v>
      </c>
      <c r="E807" s="4" t="s">
        <v>135</v>
      </c>
    </row>
    <row r="808" spans="2:5" ht="12.75">
      <c r="B808" t="s">
        <v>352</v>
      </c>
      <c r="E808" s="4"/>
    </row>
    <row r="809" spans="2:7" ht="12.75">
      <c r="B809" t="s">
        <v>353</v>
      </c>
      <c r="E809" s="4"/>
      <c r="G809" s="38">
        <f>589100.7+1834.3+9452.62+2513.58-G811-G812-G813-G816-G817</f>
        <v>157457.38999999996</v>
      </c>
    </row>
    <row r="810" spans="2:5" ht="12.75">
      <c r="B810" t="s">
        <v>134</v>
      </c>
      <c r="D810" s="38">
        <v>18320.99</v>
      </c>
      <c r="E810" s="4" t="s">
        <v>135</v>
      </c>
    </row>
    <row r="811" spans="2:7" ht="12.75">
      <c r="B811" t="s">
        <v>136</v>
      </c>
      <c r="E811" s="4"/>
      <c r="G811" s="38">
        <v>23760</v>
      </c>
    </row>
    <row r="812" spans="2:7" ht="12.75">
      <c r="B812" t="s">
        <v>137</v>
      </c>
      <c r="E812" s="4"/>
      <c r="G812" s="38">
        <v>67110.48</v>
      </c>
    </row>
    <row r="813" spans="2:7" ht="12.75">
      <c r="B813" t="s">
        <v>138</v>
      </c>
      <c r="E813" s="4"/>
      <c r="G813" s="38">
        <v>338133.33</v>
      </c>
    </row>
    <row r="814" spans="2:7" ht="12.75">
      <c r="B814" t="s">
        <v>107</v>
      </c>
      <c r="E814" s="4"/>
      <c r="G814" s="38">
        <v>35885.26</v>
      </c>
    </row>
    <row r="815" spans="2:7" ht="12.75">
      <c r="B815" t="s">
        <v>396</v>
      </c>
      <c r="E815" s="4"/>
      <c r="G815" s="38">
        <v>6172.45</v>
      </c>
    </row>
    <row r="816" spans="2:7" ht="12.75">
      <c r="B816" t="s">
        <v>397</v>
      </c>
      <c r="D816" s="38"/>
      <c r="E816" s="4"/>
      <c r="G816" s="38">
        <v>4440</v>
      </c>
    </row>
    <row r="817" spans="2:7" ht="12.75">
      <c r="B817" t="s">
        <v>589</v>
      </c>
      <c r="E817" s="4"/>
      <c r="G817" s="38">
        <v>12000</v>
      </c>
    </row>
    <row r="818" spans="2:7" ht="12.75">
      <c r="B818" t="s">
        <v>139</v>
      </c>
      <c r="E818" s="4"/>
      <c r="G818" s="38">
        <v>35861.58</v>
      </c>
    </row>
    <row r="819" spans="2:7" ht="12.75">
      <c r="B819" t="s">
        <v>140</v>
      </c>
      <c r="E819" s="4"/>
      <c r="G819" s="38">
        <v>13298.37</v>
      </c>
    </row>
    <row r="820" spans="2:7" ht="12.75">
      <c r="B820" t="s">
        <v>141</v>
      </c>
      <c r="E820" s="4"/>
      <c r="G820" s="38">
        <v>15583.07</v>
      </c>
    </row>
    <row r="821" spans="2:7" ht="12.75">
      <c r="B821" t="s">
        <v>590</v>
      </c>
      <c r="E821" s="4"/>
      <c r="G821" s="38">
        <v>8877.65</v>
      </c>
    </row>
    <row r="822" spans="2:7" ht="12.75">
      <c r="B822" t="s">
        <v>591</v>
      </c>
      <c r="E822" s="4"/>
      <c r="G822" s="38">
        <v>1969.81</v>
      </c>
    </row>
    <row r="823" spans="2:7" ht="12.75">
      <c r="B823" t="s">
        <v>108</v>
      </c>
      <c r="E823" s="4"/>
      <c r="G823" s="38">
        <v>439500</v>
      </c>
    </row>
    <row r="824" spans="2:10" ht="12.75">
      <c r="B824" t="s">
        <v>109</v>
      </c>
      <c r="E824" s="4"/>
      <c r="G824" s="38">
        <v>36100</v>
      </c>
      <c r="J824" s="38"/>
    </row>
    <row r="825" spans="1:14" s="29" customFormat="1" ht="12.75">
      <c r="A825" s="74"/>
      <c r="B825" s="29" t="s">
        <v>301</v>
      </c>
      <c r="D825" s="30"/>
      <c r="E825" s="30"/>
      <c r="F825" s="57"/>
      <c r="G825" s="57">
        <v>0</v>
      </c>
      <c r="H825" s="68"/>
      <c r="I825" s="68"/>
      <c r="K825" s="57"/>
      <c r="L825" s="57"/>
      <c r="M825" s="57"/>
      <c r="N825" s="57"/>
    </row>
    <row r="826" ht="12.75">
      <c r="E826" s="4"/>
    </row>
    <row r="827" spans="1:14" s="29" customFormat="1" ht="12.75">
      <c r="A827" s="74"/>
      <c r="B827" s="29" t="s">
        <v>110</v>
      </c>
      <c r="D827" s="30"/>
      <c r="F827" s="57">
        <v>243.47</v>
      </c>
      <c r="G827" s="57">
        <f>G782+G784-G798</f>
        <v>-8326.14000000013</v>
      </c>
      <c r="H827" s="68"/>
      <c r="I827" s="68"/>
      <c r="K827" s="57"/>
      <c r="L827" s="57"/>
      <c r="M827" s="57"/>
      <c r="N827" s="57"/>
    </row>
    <row r="828" spans="2:5" ht="12.75">
      <c r="B828" t="s">
        <v>103</v>
      </c>
      <c r="E828" s="4"/>
    </row>
    <row r="829" spans="2:5" ht="12.75">
      <c r="B829" t="s">
        <v>111</v>
      </c>
      <c r="E829" s="4"/>
    </row>
    <row r="830" spans="1:14" s="63" customFormat="1" ht="12.75">
      <c r="A830" s="59"/>
      <c r="B830" s="60" t="s">
        <v>112</v>
      </c>
      <c r="C830" s="60"/>
      <c r="D830" s="61"/>
      <c r="E830" s="60"/>
      <c r="F830" s="79"/>
      <c r="G830" s="79"/>
      <c r="H830" s="62"/>
      <c r="I830" s="62"/>
      <c r="K830" s="42"/>
      <c r="L830" s="42"/>
      <c r="M830" s="42"/>
      <c r="N830" s="42"/>
    </row>
    <row r="831" ht="12.75">
      <c r="B831" s="29"/>
    </row>
    <row r="832" ht="12.75">
      <c r="B832" t="s">
        <v>113</v>
      </c>
    </row>
    <row r="833" ht="12.75">
      <c r="B833" s="6" t="s">
        <v>102</v>
      </c>
    </row>
    <row r="834" ht="12.75">
      <c r="B834" t="s">
        <v>114</v>
      </c>
    </row>
    <row r="835" ht="12.75">
      <c r="B835" t="s">
        <v>115</v>
      </c>
    </row>
    <row r="837" spans="1:14" s="33" customFormat="1" ht="15">
      <c r="A837" s="75" t="s">
        <v>191</v>
      </c>
      <c r="B837" s="33" t="s">
        <v>233</v>
      </c>
      <c r="D837" s="34"/>
      <c r="F837" s="37"/>
      <c r="G837" s="37"/>
      <c r="H837" s="62"/>
      <c r="I837" s="62"/>
      <c r="K837" s="37"/>
      <c r="L837" s="37"/>
      <c r="M837" s="37"/>
      <c r="N837" s="37"/>
    </row>
    <row r="839" spans="1:14" s="29" customFormat="1" ht="12.75">
      <c r="A839" s="74"/>
      <c r="B839" s="29" t="s">
        <v>593</v>
      </c>
      <c r="D839" s="30"/>
      <c r="F839" s="57">
        <v>100879.68</v>
      </c>
      <c r="G839" s="57">
        <f>F839</f>
        <v>100879.68</v>
      </c>
      <c r="H839" s="68"/>
      <c r="I839" s="68"/>
      <c r="K839" s="57"/>
      <c r="L839" s="57"/>
      <c r="M839" s="57"/>
      <c r="N839" s="57"/>
    </row>
    <row r="841" spans="1:14" s="29" customFormat="1" ht="12.75">
      <c r="A841" s="74"/>
      <c r="B841" s="29" t="s">
        <v>276</v>
      </c>
      <c r="D841" s="30"/>
      <c r="F841" s="57">
        <f>SUM(F843:F845)</f>
        <v>61500</v>
      </c>
      <c r="G841" s="57">
        <f>SUM(G843:G845)</f>
        <v>35816.18</v>
      </c>
      <c r="H841" s="68"/>
      <c r="I841" s="68"/>
      <c r="K841" s="57"/>
      <c r="L841" s="57"/>
      <c r="M841" s="57"/>
      <c r="N841" s="57"/>
    </row>
    <row r="842" spans="1:14" s="15" customFormat="1" ht="12.75">
      <c r="A842" s="59"/>
      <c r="B842" s="15" t="s">
        <v>154</v>
      </c>
      <c r="D842" s="20"/>
      <c r="F842" s="52"/>
      <c r="G842" s="52"/>
      <c r="H842" s="62"/>
      <c r="I842" s="62"/>
      <c r="K842" s="52"/>
      <c r="L842" s="52"/>
      <c r="M842" s="52"/>
      <c r="N842" s="52"/>
    </row>
    <row r="843" spans="1:14" s="15" customFormat="1" ht="12.75">
      <c r="A843" s="59"/>
      <c r="B843" s="15" t="s">
        <v>594</v>
      </c>
      <c r="D843" s="20"/>
      <c r="F843" s="52">
        <v>60000</v>
      </c>
      <c r="G843" s="52">
        <v>28702.72</v>
      </c>
      <c r="H843" s="62"/>
      <c r="I843" s="62"/>
      <c r="K843" s="52"/>
      <c r="L843" s="52"/>
      <c r="M843" s="52"/>
      <c r="N843" s="52"/>
    </row>
    <row r="844" spans="2:7" ht="12.75">
      <c r="B844" t="s">
        <v>277</v>
      </c>
      <c r="F844" s="38">
        <v>1500</v>
      </c>
      <c r="G844" s="38">
        <v>7106.86</v>
      </c>
    </row>
    <row r="845" spans="2:7" ht="12.75">
      <c r="B845" t="s">
        <v>116</v>
      </c>
      <c r="F845" s="38">
        <v>0</v>
      </c>
      <c r="G845" s="38">
        <v>6.6</v>
      </c>
    </row>
    <row r="847" spans="1:14" s="29" customFormat="1" ht="12.75">
      <c r="A847" s="74"/>
      <c r="B847" s="29" t="s">
        <v>278</v>
      </c>
      <c r="D847" s="30"/>
      <c r="F847" s="57">
        <f>SUM(F849:F863)</f>
        <v>160725</v>
      </c>
      <c r="G847" s="57">
        <f>SUM(G849:G863)</f>
        <v>112961.26</v>
      </c>
      <c r="H847" s="68"/>
      <c r="I847" s="68"/>
      <c r="K847" s="57"/>
      <c r="L847" s="57"/>
      <c r="M847" s="57"/>
      <c r="N847" s="57"/>
    </row>
    <row r="848" ht="12.75">
      <c r="B848" t="s">
        <v>154</v>
      </c>
    </row>
    <row r="849" spans="2:7" ht="12.75">
      <c r="B849" t="s">
        <v>595</v>
      </c>
      <c r="F849" s="38">
        <v>2000</v>
      </c>
      <c r="G849" s="38">
        <v>2000</v>
      </c>
    </row>
    <row r="850" ht="12.75">
      <c r="B850" t="s">
        <v>596</v>
      </c>
    </row>
    <row r="851" spans="2:7" ht="12.75">
      <c r="B851" t="s">
        <v>320</v>
      </c>
      <c r="F851" s="38">
        <v>2000</v>
      </c>
      <c r="G851" s="38">
        <v>2000</v>
      </c>
    </row>
    <row r="852" spans="2:7" ht="12.75">
      <c r="B852" t="s">
        <v>597</v>
      </c>
      <c r="F852" s="38">
        <v>2000</v>
      </c>
      <c r="G852" s="38">
        <v>1279</v>
      </c>
    </row>
    <row r="853" spans="2:7" ht="12.75">
      <c r="B853" t="s">
        <v>598</v>
      </c>
      <c r="F853" s="38">
        <v>3000</v>
      </c>
      <c r="G853" s="38">
        <f>4180.18-G852</f>
        <v>2901.1800000000003</v>
      </c>
    </row>
    <row r="854" spans="2:10" ht="12.75">
      <c r="B854" t="s">
        <v>117</v>
      </c>
      <c r="F854" s="38">
        <v>10000</v>
      </c>
      <c r="G854" s="38">
        <v>9990</v>
      </c>
      <c r="J854" s="38"/>
    </row>
    <row r="855" spans="2:7" ht="12.75">
      <c r="B855" t="s">
        <v>599</v>
      </c>
      <c r="F855" s="38">
        <v>10000</v>
      </c>
      <c r="G855" s="38">
        <v>2995.6</v>
      </c>
    </row>
    <row r="856" spans="2:7" ht="12.75">
      <c r="B856" t="s">
        <v>600</v>
      </c>
      <c r="F856" s="38">
        <v>35000</v>
      </c>
      <c r="G856" s="38">
        <f>4522.1+26216</f>
        <v>30738.1</v>
      </c>
    </row>
    <row r="857" ht="12.75">
      <c r="B857" t="s">
        <v>601</v>
      </c>
    </row>
    <row r="858" spans="2:7" ht="12.75">
      <c r="B858" t="s">
        <v>142</v>
      </c>
      <c r="F858" s="38">
        <v>15000</v>
      </c>
      <c r="G858" s="38">
        <v>14640</v>
      </c>
    </row>
    <row r="859" spans="2:10" ht="12.75">
      <c r="B859" t="s">
        <v>602</v>
      </c>
      <c r="F859" s="38">
        <f>12000+11000+10000</f>
        <v>33000</v>
      </c>
      <c r="G859" s="38">
        <v>9500.51</v>
      </c>
      <c r="J859" s="38"/>
    </row>
    <row r="860" spans="2:7" ht="12.75">
      <c r="B860" t="s">
        <v>378</v>
      </c>
      <c r="F860" s="38">
        <v>15000</v>
      </c>
      <c r="G860" s="38">
        <v>3427.22</v>
      </c>
    </row>
    <row r="861" spans="2:7" ht="12.75">
      <c r="B861" t="s">
        <v>379</v>
      </c>
      <c r="E861" s="4"/>
      <c r="F861" s="38">
        <v>500</v>
      </c>
      <c r="G861" s="38">
        <v>264.65</v>
      </c>
    </row>
    <row r="862" spans="2:5" ht="12.75">
      <c r="B862" t="s">
        <v>603</v>
      </c>
      <c r="E862" s="4"/>
    </row>
    <row r="863" spans="2:7" ht="12.75">
      <c r="B863" t="s">
        <v>604</v>
      </c>
      <c r="F863" s="38">
        <v>33225</v>
      </c>
      <c r="G863" s="38">
        <v>33225</v>
      </c>
    </row>
    <row r="865" spans="2:7" ht="12.75">
      <c r="B865" s="29" t="s">
        <v>118</v>
      </c>
      <c r="F865" s="57">
        <v>1654.68</v>
      </c>
      <c r="G865" s="57">
        <f>G839+G841-G847</f>
        <v>23734.59999999999</v>
      </c>
    </row>
    <row r="867" ht="12.75">
      <c r="B867" t="s">
        <v>119</v>
      </c>
    </row>
    <row r="868" ht="12.75">
      <c r="B868" t="s">
        <v>120</v>
      </c>
    </row>
  </sheetData>
  <printOptions/>
  <pageMargins left="0.15748031496062992" right="0" top="0.984251968503937" bottom="0.5905511811023623" header="0.31496062992125984" footer="0.31496062992125984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2008-03-17T14:24:30Z</cp:lastPrinted>
  <dcterms:created xsi:type="dcterms:W3CDTF">2001-08-01T10:56:09Z</dcterms:created>
  <dcterms:modified xsi:type="dcterms:W3CDTF">2008-03-17T14:25:31Z</dcterms:modified>
  <cp:category/>
  <cp:version/>
  <cp:contentType/>
  <cp:contentStatus/>
</cp:coreProperties>
</file>