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570" windowWidth="9720" windowHeight="7020" activeTab="0"/>
  </bookViews>
  <sheets>
    <sheet name="DOCHi2000" sheetId="1" r:id="rId1"/>
  </sheets>
  <definedNames/>
  <calcPr fullCalcOnLoad="1"/>
</workbook>
</file>

<file path=xl/sharedStrings.xml><?xml version="1.0" encoding="utf-8"?>
<sst xmlns="http://schemas.openxmlformats.org/spreadsheetml/2006/main" count="481" uniqueCount="251">
  <si>
    <t>a) zestawienie dochodów wg działów</t>
  </si>
  <si>
    <t>Lp.</t>
  </si>
  <si>
    <t>Dz.-rozdz.&amp;</t>
  </si>
  <si>
    <t xml:space="preserve"> Treść</t>
  </si>
  <si>
    <t>GOSPODARKA KOMUNALNA</t>
  </si>
  <si>
    <t>BEZPIECZEŃSTWO  PUBLICZNE</t>
  </si>
  <si>
    <t>OGÓŁEM</t>
  </si>
  <si>
    <t>b) zestawienie dochodów wg działów, rozdziałów i paragrafów</t>
  </si>
  <si>
    <t>Pozostała działalność</t>
  </si>
  <si>
    <t>w tym:</t>
  </si>
  <si>
    <t>Gospodarka gruntami i nieruchom.</t>
  </si>
  <si>
    <t>wpływy z usług</t>
  </si>
  <si>
    <t>gruntu</t>
  </si>
  <si>
    <t>lokali mieszkalnych</t>
  </si>
  <si>
    <t>OŚWIATA I WYCHOWANIE</t>
  </si>
  <si>
    <t>Szkoły podstawowe</t>
  </si>
  <si>
    <t>Gimnazja</t>
  </si>
  <si>
    <t>DOCH.OD OSÓB PRAWN.,OD</t>
  </si>
  <si>
    <t>OSÓB FIZYCZN.I OD INNYCH...</t>
  </si>
  <si>
    <t>podatek rolny</t>
  </si>
  <si>
    <t>podatek leśny</t>
  </si>
  <si>
    <t>podatek od nieruchomości</t>
  </si>
  <si>
    <t>podatek od środków transportowych</t>
  </si>
  <si>
    <t>opłata prolongacyjna</t>
  </si>
  <si>
    <t>podatek od spadków i darowizn</t>
  </si>
  <si>
    <t>podatek od posiadania psów</t>
  </si>
  <si>
    <t>Urzędy wojewódzkie</t>
  </si>
  <si>
    <t>subwencje ogólne z budżetu  państwa</t>
  </si>
  <si>
    <t>Różne rozliczenia finansowe</t>
  </si>
  <si>
    <t>TRANSPORT I ŁĄCZNOŚĆ</t>
  </si>
  <si>
    <t>I OCHRONA ŚRODOWISKA</t>
  </si>
  <si>
    <t>GOSPODARKA MIESZKANIOWA</t>
  </si>
  <si>
    <t>EDUKACYJNA  OPIEKA</t>
  </si>
  <si>
    <t>WYCHOWAWCZA</t>
  </si>
  <si>
    <t xml:space="preserve">Kolonie i obozy oraz inne formy </t>
  </si>
  <si>
    <t>Usługi opiekuńcze i specjalistyczne</t>
  </si>
  <si>
    <t xml:space="preserve">usługi opiekuńcze </t>
  </si>
  <si>
    <t>Zasiłki i pomoc w naturze oraz</t>
  </si>
  <si>
    <t>Ośrodki pomocy społecznej</t>
  </si>
  <si>
    <t>TURYSTYKA</t>
  </si>
  <si>
    <t>osób fizycznych</t>
  </si>
  <si>
    <t>Wpływy z podatku dochodowego od</t>
  </si>
  <si>
    <t>Wpływy z pod.rolnego,pod.leśnego,pod.</t>
  </si>
  <si>
    <t>Urzędy gmin</t>
  </si>
  <si>
    <t>I OCHRONA  PRZECIWPOŻAROWA</t>
  </si>
  <si>
    <t>Część oświatowa subwencji ogólnej</t>
  </si>
  <si>
    <t>dla jednostek samorządu terytorial.</t>
  </si>
  <si>
    <t>URZĘDY NACZELNYCH ORGANÓW</t>
  </si>
  <si>
    <t>WŁADZY PAŃSTWOWEJ, KONTROLI</t>
  </si>
  <si>
    <t xml:space="preserve"> I OCHRONY PRAWA  ORAZ SĄDOW.</t>
  </si>
  <si>
    <t>Urzędy naczelnych organów władzy</t>
  </si>
  <si>
    <t>państw.,kontroli i ochrony prawa</t>
  </si>
  <si>
    <t>wpływy z różnych dochodów</t>
  </si>
  <si>
    <t>wpływy z opłaty miejscowej</t>
  </si>
  <si>
    <t>podatków i opłat</t>
  </si>
  <si>
    <t>dochody z najmu i dzierżawy składnik.</t>
  </si>
  <si>
    <t>wpływy z różnych opłat</t>
  </si>
  <si>
    <t>wpływy z tyt.przekształcenia prawa</t>
  </si>
  <si>
    <t>użytkowania wieczystego przysług.</t>
  </si>
  <si>
    <t>osobom fizycznym w prawo własności</t>
  </si>
  <si>
    <t>wpływy z opłat za zarząd, użytkowanie</t>
  </si>
  <si>
    <t>i użytkowanie wieczyste nieruchomości</t>
  </si>
  <si>
    <t>wpływy z różnych  dochodów</t>
  </si>
  <si>
    <t>odsetki od nieterminowych wpłat z tyt.</t>
  </si>
  <si>
    <t>ADMINISTRACJA  PUBLICZNA</t>
  </si>
  <si>
    <t>wpływy z tyt.wynagrodzenia płatnika</t>
  </si>
  <si>
    <t>od ludności</t>
  </si>
  <si>
    <t>pozostałe odsetki</t>
  </si>
  <si>
    <t>podatek od działalności gospodarczej</t>
  </si>
  <si>
    <t>karty podatkowej</t>
  </si>
  <si>
    <t>wpływy z opłaty targowej</t>
  </si>
  <si>
    <t>wpływy z opłaty skarbowej</t>
  </si>
  <si>
    <t>Drogi publiczne powiatowe</t>
  </si>
  <si>
    <t>dotacje celowe otrzymane z powiatu na</t>
  </si>
  <si>
    <t>porozumień między j.s.t.</t>
  </si>
  <si>
    <t>Oświetlenie ulic,placów i dróg</t>
  </si>
  <si>
    <t>dotacje celowe otrzymane z bud.państ.</t>
  </si>
  <si>
    <t>zleconych gminie ustawami</t>
  </si>
  <si>
    <t>wpłaty z tyt.odpłatnego nabycia prawa</t>
  </si>
  <si>
    <t>szkoła nr 1</t>
  </si>
  <si>
    <t>szkoła nr 2</t>
  </si>
  <si>
    <t>gmin</t>
  </si>
  <si>
    <t>składki na ubezpieczenia społeczne</t>
  </si>
  <si>
    <t>na realizacje zadań bieżacych z zakresu</t>
  </si>
  <si>
    <t xml:space="preserve">administr.rządowej oraz innych zadań </t>
  </si>
  <si>
    <t>podatek dochodowy od osób fizycznych</t>
  </si>
  <si>
    <t>podatek dochodowy od osób prawnych</t>
  </si>
  <si>
    <t>osób fizycznych,opłacany w formie</t>
  </si>
  <si>
    <t>dochód budżetu państwa</t>
  </si>
  <si>
    <t>Udziały gmin w podatkach stanow.</t>
  </si>
  <si>
    <t xml:space="preserve">pozostałe odsetki (odsetki od środków </t>
  </si>
  <si>
    <t>gimnazjum</t>
  </si>
  <si>
    <t>Straż Miejska</t>
  </si>
  <si>
    <t>grzywny,mandaty i inne kary pieniężne</t>
  </si>
  <si>
    <t>kol.6/5</t>
  </si>
  <si>
    <t>DZIAŁALNOŚĆ USŁUGOWA</t>
  </si>
  <si>
    <t>zwrot opłat sądowych</t>
  </si>
  <si>
    <t>prowizja za znaki skarbowe</t>
  </si>
  <si>
    <t>odsetki od nietrminowych wpłat......</t>
  </si>
  <si>
    <t>podatek od czynności cywilnoprawnych</t>
  </si>
  <si>
    <t>Wpływy z innych opłat stanowiących</t>
  </si>
  <si>
    <t>Przedszkola</t>
  </si>
  <si>
    <t>zmiany na</t>
  </si>
  <si>
    <t>plus/minus</t>
  </si>
  <si>
    <t>zwrot za upomnienia</t>
  </si>
  <si>
    <t>odsetki od nieterminowych wpłat...........</t>
  </si>
  <si>
    <t>na rachunkach bankowych i inne)</t>
  </si>
  <si>
    <t>Plan na</t>
  </si>
  <si>
    <t>2002 r.</t>
  </si>
  <si>
    <t>Towarzystwa Budownictwa Społecznego</t>
  </si>
  <si>
    <t>Składki na ubezpieczenie zdrowotne</t>
  </si>
  <si>
    <t>opłacane za osoby pobierające niektóre</t>
  </si>
  <si>
    <t>świadczenia z pomocy społecznej</t>
  </si>
  <si>
    <t>(zwrot nakładów-przedsięwzięcie termomodern.)</t>
  </si>
  <si>
    <t>Drogi publiczne gminne</t>
  </si>
  <si>
    <t>Opracowania geodezyjne i kartograf.</t>
  </si>
  <si>
    <t xml:space="preserve">wypoczynku dzieci i młodzieży </t>
  </si>
  <si>
    <t>Przewidywane</t>
  </si>
  <si>
    <t xml:space="preserve">wykonanie </t>
  </si>
  <si>
    <t>Plan po</t>
  </si>
  <si>
    <t>koszty zastępstwa procesowego</t>
  </si>
  <si>
    <t>wpływy z opłat za zezwolenia na sprzedaż</t>
  </si>
  <si>
    <t>alkoholu</t>
  </si>
  <si>
    <t>roczna opłata z tyt.użytkowania wieczyst.</t>
  </si>
  <si>
    <t>majątkowych Skarbu Państwa,jedn.samorz.</t>
  </si>
  <si>
    <t>teryt.lub innych jednostek zaliczanych do</t>
  </si>
  <si>
    <t>sektora finansów publ.oraz innych umów.....</t>
  </si>
  <si>
    <t>dochody jedn.samorz.teryt.na podst .ustaw</t>
  </si>
  <si>
    <t>sektora finansnów publ.oraz innych umów.....</t>
  </si>
  <si>
    <t>RÓŻNE ROZLICZENIA</t>
  </si>
  <si>
    <t>opłata za użytk.wieczyste%(sprzedaż)</t>
  </si>
  <si>
    <t>O690</t>
  </si>
  <si>
    <t>POMOC  SPOŁECZNA</t>
  </si>
  <si>
    <t>szkolnej, a także szkolenia młodzieży</t>
  </si>
  <si>
    <t>O970</t>
  </si>
  <si>
    <t>O440</t>
  </si>
  <si>
    <t>O910</t>
  </si>
  <si>
    <t>O470</t>
  </si>
  <si>
    <t>O750</t>
  </si>
  <si>
    <t>O760</t>
  </si>
  <si>
    <t>O770</t>
  </si>
  <si>
    <t>O830</t>
  </si>
  <si>
    <t>O920</t>
  </si>
  <si>
    <t>O570</t>
  </si>
  <si>
    <t>O350</t>
  </si>
  <si>
    <t>O310</t>
  </si>
  <si>
    <t>O320</t>
  </si>
  <si>
    <t>O330</t>
  </si>
  <si>
    <t>O340</t>
  </si>
  <si>
    <t>O360</t>
  </si>
  <si>
    <t>O370</t>
  </si>
  <si>
    <t>O430</t>
  </si>
  <si>
    <t>O500</t>
  </si>
  <si>
    <t>O410</t>
  </si>
  <si>
    <t>O480</t>
  </si>
  <si>
    <t>OO10</t>
  </si>
  <si>
    <t>OO20</t>
  </si>
  <si>
    <t>O960</t>
  </si>
  <si>
    <t>zadania bieżące realizowane na podst.</t>
  </si>
  <si>
    <t>na realizacje zadań bieżących z zakresu</t>
  </si>
  <si>
    <t>na realizację własnych zadań bieżących</t>
  </si>
  <si>
    <t>Wskaźnik</t>
  </si>
  <si>
    <t>(rozliczenia z lat ubiegłych i różne dochody)</t>
  </si>
  <si>
    <t>Plany zagospodarowania przestrzennego</t>
  </si>
  <si>
    <t>wpływy z różnych opłat(renty planistyczne)</t>
  </si>
  <si>
    <t>wpływy z różnych opłat(opłata adiacencka)</t>
  </si>
  <si>
    <t>ubezpieczenia emerytalne i rentowe</t>
  </si>
  <si>
    <t>z ubezpieczenia społecznego</t>
  </si>
  <si>
    <t>na inwestycje i zakupy inwestycyjne</t>
  </si>
  <si>
    <t xml:space="preserve">z zakresu administr.rządowej oraz innych </t>
  </si>
  <si>
    <t>zadań zleconych gminom ustawami</t>
  </si>
  <si>
    <t>DZIEDZICTWA  NARODOWEGO</t>
  </si>
  <si>
    <t>KULTURA  I  OCHRONA</t>
  </si>
  <si>
    <t xml:space="preserve">KULTURA I OCHRONA </t>
  </si>
  <si>
    <t>DZIEDZICTWA NARODOWEGO</t>
  </si>
  <si>
    <t>kotłownia -ul.Piastowska 4</t>
  </si>
  <si>
    <t>od czynności cywilnoprawnych,podatków</t>
  </si>
  <si>
    <t>i opłat lokalnych od osób prawnych i innych</t>
  </si>
  <si>
    <t>Wpływy z pod.rolnego,pod.leśnego,</t>
  </si>
  <si>
    <t>podatku od spadków i darowizn,podatku</t>
  </si>
  <si>
    <t>od czynności cywilnoprawnych oraz</t>
  </si>
  <si>
    <t>podatków i opłat lokalnych od osób</t>
  </si>
  <si>
    <t>własności  oraz prawa użytkowania</t>
  </si>
  <si>
    <t>wieczystego nieruchomości</t>
  </si>
  <si>
    <t>odsetki od nietermin.wpłat z tyt.pod.i opł.</t>
  </si>
  <si>
    <t>OBRONA  NARODOWA</t>
  </si>
  <si>
    <t>Pozostałe wydatki obronne</t>
  </si>
  <si>
    <t>O870</t>
  </si>
  <si>
    <t>wpływy ze sprzedaży składników majątkowych</t>
  </si>
  <si>
    <t>zmianach na</t>
  </si>
  <si>
    <t>gmin( dotacja -awans zawodowy)</t>
  </si>
  <si>
    <t>dotacja celowa otrzym.z bud.pań.....</t>
  </si>
  <si>
    <t>załącznik nr 1 do objaśnień</t>
  </si>
  <si>
    <t>2006r.</t>
  </si>
  <si>
    <t xml:space="preserve">wpływy z róznych opłat (wpływy z zajęcia </t>
  </si>
  <si>
    <t>pasa drogowego)</t>
  </si>
  <si>
    <t>zwrot bonifikaty</t>
  </si>
  <si>
    <t>wpływy z różnych dochodów(kary umowne)</t>
  </si>
  <si>
    <t xml:space="preserve">dochody jst związane z realizacją zadań </t>
  </si>
  <si>
    <t>z zakresu admin.rządowej oraz innych zadań</t>
  </si>
  <si>
    <t>zleconych ustawami (dowody osobiste)</t>
  </si>
  <si>
    <t>rozliczenia z lat ubiegłych i inne</t>
  </si>
  <si>
    <t>za udziel.licencji-transp.drogowy taksówką</t>
  </si>
  <si>
    <t>gminne...</t>
  </si>
  <si>
    <t>Wybory do rad gmin,....oraz referenda</t>
  </si>
  <si>
    <t>jednostek organizacyjnych</t>
  </si>
  <si>
    <t xml:space="preserve">fizycznych </t>
  </si>
  <si>
    <t>otrzymane spadki,zapisy i darowizny.....</t>
  </si>
  <si>
    <t>gmin(zasiłki okresowe o charakt.obowiązk.)</t>
  </si>
  <si>
    <t>gmin (posiłek dla potrzebujących)</t>
  </si>
  <si>
    <t>Pomoc materialna dla uczniów</t>
  </si>
  <si>
    <t>gmin (stypendia socjalne)</t>
  </si>
  <si>
    <t xml:space="preserve">wpływy z usług (wpływy ze sprzedaży </t>
  </si>
  <si>
    <t>Specyfik.Istotnych Warunków Zamówienia)</t>
  </si>
  <si>
    <t>Część wyrównawcza subw.ogólnej dla gmin</t>
  </si>
  <si>
    <t>Część równoważąca subw.ogólnej dla gmin</t>
  </si>
  <si>
    <t>(kwota równoważąca dodatki mieszkaniowe)</t>
  </si>
  <si>
    <t>budynków</t>
  </si>
  <si>
    <t>wpływy z różnych opłat (szkoła  nr 1)</t>
  </si>
  <si>
    <t>opłata z tyt.trwłego zarządu</t>
  </si>
  <si>
    <t>alimentacyjna oraz składki  na</t>
  </si>
  <si>
    <t xml:space="preserve">Świadczenia rodzinne, zaliczka </t>
  </si>
  <si>
    <t>najem komunalnych lokali mieszkalnych</t>
  </si>
  <si>
    <t xml:space="preserve">wpływy z usług </t>
  </si>
  <si>
    <t>Cmentarze</t>
  </si>
  <si>
    <t>O490</t>
  </si>
  <si>
    <t xml:space="preserve">wpływy z innych lokalnych opłat pobieranych </t>
  </si>
  <si>
    <t>przez jst na podstawie odrębnych ustaw</t>
  </si>
  <si>
    <t>Planowane dochody na 2007r. w porównaniu z przewidywanym wykonaniem w 2006r.</t>
  </si>
  <si>
    <t>31.10.2006r.</t>
  </si>
  <si>
    <t>2007 r.</t>
  </si>
  <si>
    <t>O10</t>
  </si>
  <si>
    <t>ROLNICTWO I ŁOWIECTWO</t>
  </si>
  <si>
    <t>O1095</t>
  </si>
  <si>
    <t>z lat ubiegłych</t>
  </si>
  <si>
    <t>wpływy z usług(sprzedaż ciepła dla BGŻ i inne)</t>
  </si>
  <si>
    <t>Obrona cywilna</t>
  </si>
  <si>
    <t>dotacje celowe otrzym.z budżetu państwa….</t>
  </si>
  <si>
    <t>rekompensaty utraconych dochodów…..</t>
  </si>
  <si>
    <t>dotacje  celowe otrzymane z bud.pań….</t>
  </si>
  <si>
    <t>pozostałe odsetki(szkoła nr 1 i nr 2)</t>
  </si>
  <si>
    <t>środki na dofinans.własnych zadań…..</t>
  </si>
  <si>
    <t>(szkoła nr 1-Projekt Programu Socrates)</t>
  </si>
  <si>
    <t>Domy i ośrodki kultury……</t>
  </si>
  <si>
    <t>Strukt.</t>
  </si>
  <si>
    <t xml:space="preserve">planu </t>
  </si>
  <si>
    <t>gmin (wyprawki szkolne i j.angielski)</t>
  </si>
  <si>
    <t xml:space="preserve">sprzedaz nieruchomości </t>
  </si>
  <si>
    <t>wpływy z usług (wpływy z tyt.opłat</t>
  </si>
  <si>
    <t>pobieranych przez firmę prowadzącą strefę</t>
  </si>
  <si>
    <t>płatnego postoju)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</si>
</sst>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i/>
      <sz val="9"/>
      <name val="Arial CE"/>
      <family val="0"/>
    </font>
    <font>
      <sz val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3" fontId="1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7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0" fillId="0" borderId="5" xfId="0" applyBorder="1" applyAlignment="1">
      <alignment horizontal="center"/>
    </xf>
    <xf numFmtId="3" fontId="7" fillId="0" borderId="2" xfId="0" applyNumberFormat="1" applyFont="1" applyBorder="1" applyAlignment="1">
      <alignment/>
    </xf>
    <xf numFmtId="0" fontId="0" fillId="0" borderId="6" xfId="0" applyBorder="1" applyAlignment="1">
      <alignment/>
    </xf>
    <xf numFmtId="3" fontId="4" fillId="0" borderId="0" xfId="0" applyNumberFormat="1" applyFont="1" applyAlignment="1">
      <alignment/>
    </xf>
    <xf numFmtId="3" fontId="0" fillId="0" borderId="7" xfId="0" applyNumberFormat="1" applyBorder="1" applyAlignment="1">
      <alignment/>
    </xf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9" fontId="8" fillId="0" borderId="8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9" fontId="8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3" fillId="0" borderId="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/>
    </xf>
    <xf numFmtId="4" fontId="0" fillId="0" borderId="2" xfId="0" applyNumberForma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left"/>
    </xf>
    <xf numFmtId="4" fontId="4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left"/>
    </xf>
    <xf numFmtId="0" fontId="0" fillId="0" borderId="4" xfId="0" applyNumberFormat="1" applyBorder="1" applyAlignment="1">
      <alignment horizontal="center"/>
    </xf>
    <xf numFmtId="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9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Continuous"/>
    </xf>
    <xf numFmtId="4" fontId="9" fillId="0" borderId="7" xfId="0" applyNumberFormat="1" applyFont="1" applyBorder="1" applyAlignment="1">
      <alignment/>
    </xf>
    <xf numFmtId="10" fontId="9" fillId="0" borderId="2" xfId="0" applyNumberFormat="1" applyFont="1" applyBorder="1" applyAlignment="1">
      <alignment/>
    </xf>
    <xf numFmtId="9" fontId="9" fillId="0" borderId="7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9" fontId="9" fillId="0" borderId="9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9" fontId="9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9" fontId="8" fillId="0" borderId="1" xfId="0" applyNumberFormat="1" applyFont="1" applyBorder="1" applyAlignment="1">
      <alignment/>
    </xf>
    <xf numFmtId="4" fontId="10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10" fontId="10" fillId="0" borderId="2" xfId="0" applyNumberFormat="1" applyFont="1" applyBorder="1" applyAlignment="1">
      <alignment/>
    </xf>
    <xf numFmtId="9" fontId="10" fillId="0" borderId="7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9" fontId="8" fillId="0" borderId="7" xfId="0" applyNumberFormat="1" applyFont="1" applyBorder="1" applyAlignment="1">
      <alignment/>
    </xf>
    <xf numFmtId="10" fontId="9" fillId="0" borderId="2" xfId="0" applyNumberFormat="1" applyFont="1" applyBorder="1" applyAlignment="1">
      <alignment horizontal="left"/>
    </xf>
    <xf numFmtId="9" fontId="9" fillId="0" borderId="7" xfId="0" applyNumberFormat="1" applyFont="1" applyBorder="1" applyAlignment="1">
      <alignment horizontal="left"/>
    </xf>
    <xf numFmtId="10" fontId="10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10" fontId="9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left"/>
    </xf>
    <xf numFmtId="3" fontId="0" fillId="0" borderId="3" xfId="0" applyNumberFormat="1" applyFont="1" applyBorder="1" applyAlignment="1">
      <alignment horizontal="left"/>
    </xf>
    <xf numFmtId="10" fontId="8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/>
    </xf>
    <xf numFmtId="9" fontId="10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10" fontId="10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4"/>
  <sheetViews>
    <sheetView showGridLines="0" tabSelected="1" workbookViewId="0" topLeftCell="A1">
      <selection activeCell="D385" sqref="D385"/>
    </sheetView>
  </sheetViews>
  <sheetFormatPr defaultColWidth="9.00390625" defaultRowHeight="12.75"/>
  <cols>
    <col min="1" max="1" width="4.875" style="0" customWidth="1"/>
    <col min="2" max="2" width="8.25390625" style="0" customWidth="1"/>
    <col min="3" max="3" width="36.625" style="0" customWidth="1"/>
    <col min="4" max="4" width="13.125" style="96" customWidth="1"/>
    <col min="5" max="5" width="15.00390625" style="96" hidden="1" customWidth="1"/>
    <col min="6" max="6" width="14.00390625" style="96" customWidth="1"/>
    <col min="7" max="7" width="14.125" style="96" customWidth="1"/>
    <col min="8" max="8" width="11.625" style="28" hidden="1" customWidth="1"/>
    <col min="9" max="9" width="6.875" style="128" customWidth="1"/>
    <col min="10" max="10" width="4.75390625" style="129" customWidth="1"/>
    <col min="12" max="12" width="10.125" style="0" bestFit="1" customWidth="1"/>
  </cols>
  <sheetData>
    <row r="1" ht="12.75">
      <c r="F1" s="96" t="s">
        <v>192</v>
      </c>
    </row>
    <row r="2" spans="2:9" ht="14.25">
      <c r="B2" s="2" t="s">
        <v>228</v>
      </c>
      <c r="C2" s="17"/>
      <c r="D2" s="97"/>
      <c r="E2" s="97"/>
      <c r="F2" s="97"/>
      <c r="G2" s="97"/>
      <c r="H2" s="29"/>
      <c r="I2" s="130"/>
    </row>
    <row r="3" spans="1:7" ht="12.75">
      <c r="A3" s="1"/>
      <c r="B3" s="22" t="s">
        <v>0</v>
      </c>
      <c r="C3" s="22"/>
      <c r="D3" s="98"/>
      <c r="E3" s="98"/>
      <c r="F3" s="98"/>
      <c r="G3" s="98"/>
    </row>
    <row r="4" spans="1:10" ht="12.75">
      <c r="A4" s="7"/>
      <c r="B4" s="7"/>
      <c r="C4" s="63"/>
      <c r="D4" s="99" t="s">
        <v>119</v>
      </c>
      <c r="E4" s="100"/>
      <c r="F4" s="101" t="s">
        <v>117</v>
      </c>
      <c r="G4" s="102" t="s">
        <v>107</v>
      </c>
      <c r="H4" s="62" t="s">
        <v>107</v>
      </c>
      <c r="I4" s="131" t="s">
        <v>161</v>
      </c>
      <c r="J4" s="71" t="s">
        <v>244</v>
      </c>
    </row>
    <row r="5" spans="1:10" ht="12.75">
      <c r="A5" s="7" t="s">
        <v>1</v>
      </c>
      <c r="B5" s="24" t="s">
        <v>2</v>
      </c>
      <c r="C5" s="8" t="s">
        <v>3</v>
      </c>
      <c r="D5" s="103" t="s">
        <v>189</v>
      </c>
      <c r="E5" s="104" t="s">
        <v>102</v>
      </c>
      <c r="F5" s="103" t="s">
        <v>118</v>
      </c>
      <c r="G5" s="101" t="s">
        <v>230</v>
      </c>
      <c r="H5" s="65" t="s">
        <v>108</v>
      </c>
      <c r="I5" s="132"/>
      <c r="J5" s="72" t="s">
        <v>245</v>
      </c>
    </row>
    <row r="6" spans="1:10" ht="12.75">
      <c r="A6" s="9"/>
      <c r="B6" s="9"/>
      <c r="C6" s="9"/>
      <c r="D6" s="105" t="s">
        <v>229</v>
      </c>
      <c r="E6" s="106" t="s">
        <v>103</v>
      </c>
      <c r="F6" s="105" t="s">
        <v>193</v>
      </c>
      <c r="G6" s="105"/>
      <c r="H6" s="30"/>
      <c r="I6" s="133" t="s">
        <v>94</v>
      </c>
      <c r="J6" s="73" t="s">
        <v>193</v>
      </c>
    </row>
    <row r="7" spans="1:10" ht="12.75">
      <c r="A7" s="61">
        <v>1</v>
      </c>
      <c r="B7" s="25">
        <v>2</v>
      </c>
      <c r="C7" s="25">
        <v>3</v>
      </c>
      <c r="D7" s="125">
        <v>4</v>
      </c>
      <c r="E7" s="125">
        <v>5</v>
      </c>
      <c r="F7" s="125">
        <v>5</v>
      </c>
      <c r="G7" s="125">
        <v>6</v>
      </c>
      <c r="H7" s="31">
        <v>6</v>
      </c>
      <c r="I7" s="134">
        <v>7</v>
      </c>
      <c r="J7" s="135">
        <v>8</v>
      </c>
    </row>
    <row r="8" spans="1:10" s="4" customFormat="1" ht="15">
      <c r="A8" s="154">
        <v>1</v>
      </c>
      <c r="B8" s="89" t="s">
        <v>231</v>
      </c>
      <c r="C8" s="91" t="s">
        <v>232</v>
      </c>
      <c r="D8" s="93">
        <f>D57</f>
        <v>55</v>
      </c>
      <c r="E8" s="93"/>
      <c r="F8" s="93">
        <f>F57</f>
        <v>55</v>
      </c>
      <c r="G8" s="93">
        <f>G57</f>
        <v>0</v>
      </c>
      <c r="H8" s="93"/>
      <c r="I8" s="137">
        <f>G8/F8</f>
        <v>0</v>
      </c>
      <c r="J8" s="138">
        <f>G8/G$394</f>
        <v>0</v>
      </c>
    </row>
    <row r="9" spans="1:10" ht="12.75">
      <c r="A9" s="7"/>
      <c r="B9" s="33"/>
      <c r="C9" s="10"/>
      <c r="D9" s="107"/>
      <c r="E9" s="107"/>
      <c r="F9" s="107"/>
      <c r="G9" s="107"/>
      <c r="H9" s="26"/>
      <c r="I9" s="137"/>
      <c r="J9" s="138"/>
    </row>
    <row r="10" spans="1:10" ht="15">
      <c r="A10" s="7">
        <v>2</v>
      </c>
      <c r="B10" s="56">
        <v>600</v>
      </c>
      <c r="C10" s="13" t="s">
        <v>29</v>
      </c>
      <c r="D10" s="107">
        <f>D61</f>
        <v>168900</v>
      </c>
      <c r="E10" s="107">
        <f>E61</f>
        <v>0</v>
      </c>
      <c r="F10" s="107">
        <f>F61</f>
        <v>148920</v>
      </c>
      <c r="G10" s="107">
        <f>G61</f>
        <v>250000</v>
      </c>
      <c r="H10" s="26">
        <f>H61</f>
        <v>0</v>
      </c>
      <c r="I10" s="137">
        <f>G10/F10</f>
        <v>1.678753693258125</v>
      </c>
      <c r="J10" s="138">
        <f>G10/G$394</f>
        <v>0.009001550210971133</v>
      </c>
    </row>
    <row r="11" spans="1:10" ht="12.75">
      <c r="A11" s="7"/>
      <c r="B11" s="33"/>
      <c r="C11" s="10"/>
      <c r="D11" s="107"/>
      <c r="E11" s="107"/>
      <c r="F11" s="107"/>
      <c r="G11" s="107"/>
      <c r="H11" s="26"/>
      <c r="I11" s="137"/>
      <c r="J11" s="138"/>
    </row>
    <row r="12" spans="1:10" ht="15">
      <c r="A12" s="7">
        <v>3</v>
      </c>
      <c r="B12" s="56">
        <v>630</v>
      </c>
      <c r="C12" s="13" t="s">
        <v>39</v>
      </c>
      <c r="D12" s="107">
        <f>D75</f>
        <v>667025</v>
      </c>
      <c r="E12" s="107">
        <f>E75</f>
        <v>-26400</v>
      </c>
      <c r="F12" s="107">
        <f>F75</f>
        <v>640693</v>
      </c>
      <c r="G12" s="107">
        <f>G75</f>
        <v>640600</v>
      </c>
      <c r="H12" s="26">
        <f>H75</f>
        <v>640050</v>
      </c>
      <c r="I12" s="137">
        <f>G12/F12</f>
        <v>0.9998548446759993</v>
      </c>
      <c r="J12" s="138">
        <f>G12/G$394</f>
        <v>0.02306557226059243</v>
      </c>
    </row>
    <row r="13" spans="1:10" ht="12.75">
      <c r="A13" s="7"/>
      <c r="B13" s="33"/>
      <c r="C13" s="10"/>
      <c r="D13" s="107"/>
      <c r="E13" s="107"/>
      <c r="F13" s="107"/>
      <c r="G13" s="107"/>
      <c r="H13" s="26"/>
      <c r="I13" s="137"/>
      <c r="J13" s="138"/>
    </row>
    <row r="14" spans="1:10" ht="15">
      <c r="A14" s="7">
        <v>4</v>
      </c>
      <c r="B14" s="56">
        <v>700</v>
      </c>
      <c r="C14" s="13" t="s">
        <v>31</v>
      </c>
      <c r="D14" s="107">
        <f>D80</f>
        <v>7682642</v>
      </c>
      <c r="E14" s="107" t="e">
        <f>E80</f>
        <v>#REF!</v>
      </c>
      <c r="F14" s="107">
        <f>F80</f>
        <v>6953223</v>
      </c>
      <c r="G14" s="107">
        <f>G80</f>
        <v>13091523</v>
      </c>
      <c r="H14" s="26" t="e">
        <f>H80</f>
        <v>#REF!</v>
      </c>
      <c r="I14" s="137">
        <f>G14/F14</f>
        <v>1.88279924288348</v>
      </c>
      <c r="J14" s="138">
        <f>G14/G$394</f>
        <v>0.47137600649033373</v>
      </c>
    </row>
    <row r="15" spans="1:10" ht="12.75">
      <c r="A15" s="7"/>
      <c r="B15" s="33"/>
      <c r="C15" s="10"/>
      <c r="D15" s="107"/>
      <c r="E15" s="107"/>
      <c r="F15" s="107"/>
      <c r="G15" s="107"/>
      <c r="H15" s="26"/>
      <c r="I15" s="137"/>
      <c r="J15" s="138"/>
    </row>
    <row r="16" spans="1:10" s="60" customFormat="1" ht="15" customHeight="1">
      <c r="A16" s="59">
        <v>5</v>
      </c>
      <c r="B16" s="57">
        <v>710</v>
      </c>
      <c r="C16" s="35" t="s">
        <v>95</v>
      </c>
      <c r="D16" s="108">
        <f>D121</f>
        <v>89600</v>
      </c>
      <c r="E16" s="109" t="e">
        <f>#REF!</f>
        <v>#REF!</v>
      </c>
      <c r="F16" s="108">
        <f>F121</f>
        <v>90023</v>
      </c>
      <c r="G16" s="108">
        <f>G121</f>
        <v>28000</v>
      </c>
      <c r="H16" s="36" t="e">
        <f>#REF!</f>
        <v>#REF!</v>
      </c>
      <c r="I16" s="137">
        <f>G16/F16</f>
        <v>0.31103162525132466</v>
      </c>
      <c r="J16" s="138">
        <f>G16/G$394</f>
        <v>0.001008173623628767</v>
      </c>
    </row>
    <row r="17" spans="1:10" ht="12.75">
      <c r="A17" s="7"/>
      <c r="B17" s="33"/>
      <c r="C17" s="10"/>
      <c r="D17" s="107"/>
      <c r="E17" s="107"/>
      <c r="F17" s="107"/>
      <c r="G17" s="107"/>
      <c r="H17" s="26"/>
      <c r="I17" s="137"/>
      <c r="J17" s="138"/>
    </row>
    <row r="18" spans="1:10" ht="15">
      <c r="A18" s="7">
        <v>6</v>
      </c>
      <c r="B18" s="57">
        <v>750</v>
      </c>
      <c r="C18" s="35" t="s">
        <v>64</v>
      </c>
      <c r="D18" s="107">
        <f>D134</f>
        <v>308408</v>
      </c>
      <c r="E18" s="107" t="e">
        <f>E134</f>
        <v>#REF!</v>
      </c>
      <c r="F18" s="107">
        <f>F134</f>
        <v>340444</v>
      </c>
      <c r="G18" s="107">
        <f>G134</f>
        <v>226760</v>
      </c>
      <c r="H18" s="26" t="e">
        <f>H134</f>
        <v>#REF!</v>
      </c>
      <c r="I18" s="137">
        <f>G18/F18</f>
        <v>0.6660713656284146</v>
      </c>
      <c r="J18" s="138">
        <f>G18/G$394</f>
        <v>0.008164766103359256</v>
      </c>
    </row>
    <row r="19" spans="1:10" ht="15">
      <c r="A19" s="7"/>
      <c r="B19" s="57"/>
      <c r="C19" s="35"/>
      <c r="D19" s="107"/>
      <c r="E19" s="107"/>
      <c r="F19" s="107"/>
      <c r="G19" s="107"/>
      <c r="H19" s="26"/>
      <c r="I19" s="137"/>
      <c r="J19" s="138"/>
    </row>
    <row r="20" spans="1:10" ht="15">
      <c r="A20" s="7">
        <v>7</v>
      </c>
      <c r="B20" s="56">
        <v>751</v>
      </c>
      <c r="C20" s="34" t="s">
        <v>47</v>
      </c>
      <c r="D20" s="107"/>
      <c r="E20" s="107"/>
      <c r="F20" s="107"/>
      <c r="G20" s="107"/>
      <c r="H20" s="26"/>
      <c r="I20" s="137"/>
      <c r="J20" s="138"/>
    </row>
    <row r="21" spans="1:10" ht="15">
      <c r="A21" s="7"/>
      <c r="B21" s="56"/>
      <c r="C21" s="34" t="s">
        <v>48</v>
      </c>
      <c r="D21" s="107"/>
      <c r="E21" s="107"/>
      <c r="F21" s="107"/>
      <c r="G21" s="107"/>
      <c r="H21" s="26"/>
      <c r="I21" s="137"/>
      <c r="J21" s="138"/>
    </row>
    <row r="22" spans="1:10" ht="15">
      <c r="A22" s="7"/>
      <c r="B22" s="56"/>
      <c r="C22" s="34" t="s">
        <v>49</v>
      </c>
      <c r="D22" s="107">
        <f>D165</f>
        <v>24984</v>
      </c>
      <c r="E22" s="107" t="e">
        <f>E165</f>
        <v>#REF!</v>
      </c>
      <c r="F22" s="107">
        <f>F165</f>
        <v>24984</v>
      </c>
      <c r="G22" s="107">
        <f>G165</f>
        <v>1104</v>
      </c>
      <c r="H22" s="26" t="e">
        <f>H165</f>
        <v>#REF!</v>
      </c>
      <c r="I22" s="137">
        <f>G22/F22</f>
        <v>0.04418828049951969</v>
      </c>
      <c r="J22" s="138">
        <f>G22/G$394</f>
        <v>3.975084573164852E-05</v>
      </c>
    </row>
    <row r="23" spans="1:10" ht="15">
      <c r="A23" s="7"/>
      <c r="B23" s="56"/>
      <c r="C23" s="34"/>
      <c r="D23" s="107"/>
      <c r="E23" s="107"/>
      <c r="F23" s="107"/>
      <c r="G23" s="107"/>
      <c r="H23" s="26"/>
      <c r="I23" s="137"/>
      <c r="J23" s="138"/>
    </row>
    <row r="24" spans="1:10" ht="15">
      <c r="A24" s="7">
        <v>8</v>
      </c>
      <c r="B24" s="56">
        <v>752</v>
      </c>
      <c r="C24" s="34" t="s">
        <v>185</v>
      </c>
      <c r="D24" s="107">
        <f>D178</f>
        <v>0</v>
      </c>
      <c r="E24" s="107"/>
      <c r="F24" s="107">
        <f>F178</f>
        <v>0</v>
      </c>
      <c r="G24" s="107">
        <f>G178</f>
        <v>0</v>
      </c>
      <c r="H24" s="26"/>
      <c r="I24" s="137"/>
      <c r="J24" s="138">
        <f>G24/G$394</f>
        <v>0</v>
      </c>
    </row>
    <row r="25" spans="1:10" ht="15">
      <c r="A25" s="7"/>
      <c r="B25" s="56"/>
      <c r="C25" s="34"/>
      <c r="D25" s="107"/>
      <c r="E25" s="107"/>
      <c r="F25" s="107"/>
      <c r="G25" s="107"/>
      <c r="H25" s="26"/>
      <c r="I25" s="137"/>
      <c r="J25" s="138"/>
    </row>
    <row r="26" spans="1:10" ht="15">
      <c r="A26" s="7">
        <v>9</v>
      </c>
      <c r="B26" s="56">
        <v>754</v>
      </c>
      <c r="C26" s="10" t="s">
        <v>5</v>
      </c>
      <c r="D26" s="107"/>
      <c r="E26" s="107"/>
      <c r="F26" s="107"/>
      <c r="G26" s="107"/>
      <c r="H26" s="26"/>
      <c r="I26" s="137"/>
      <c r="J26" s="138"/>
    </row>
    <row r="27" spans="1:10" ht="15">
      <c r="A27" s="7"/>
      <c r="B27" s="56"/>
      <c r="C27" s="10" t="s">
        <v>44</v>
      </c>
      <c r="D27" s="107">
        <f>D185</f>
        <v>32500</v>
      </c>
      <c r="E27" s="107" t="e">
        <f>E185</f>
        <v>#REF!</v>
      </c>
      <c r="F27" s="107">
        <f>F185</f>
        <v>26500</v>
      </c>
      <c r="G27" s="107">
        <f>G185</f>
        <v>20000</v>
      </c>
      <c r="H27" s="26" t="e">
        <f>H185</f>
        <v>#REF!</v>
      </c>
      <c r="I27" s="137">
        <f>G27/F27</f>
        <v>0.7547169811320755</v>
      </c>
      <c r="J27" s="138">
        <f>G27/G$394</f>
        <v>0.0007201240168776906</v>
      </c>
    </row>
    <row r="28" spans="1:10" ht="12.75">
      <c r="A28" s="7"/>
      <c r="B28" s="33"/>
      <c r="C28" s="10"/>
      <c r="D28" s="107"/>
      <c r="E28" s="107"/>
      <c r="F28" s="107"/>
      <c r="G28" s="107"/>
      <c r="H28" s="26"/>
      <c r="I28" s="137"/>
      <c r="J28" s="138"/>
    </row>
    <row r="29" spans="1:10" ht="15">
      <c r="A29" s="7">
        <v>10</v>
      </c>
      <c r="B29" s="56">
        <v>756</v>
      </c>
      <c r="C29" s="13" t="s">
        <v>17</v>
      </c>
      <c r="D29" s="107"/>
      <c r="E29" s="107"/>
      <c r="F29" s="107"/>
      <c r="G29" s="107"/>
      <c r="H29" s="26"/>
      <c r="I29" s="137"/>
      <c r="J29" s="138"/>
    </row>
    <row r="30" spans="1:10" ht="15">
      <c r="A30" s="7"/>
      <c r="B30" s="56"/>
      <c r="C30" s="13" t="s">
        <v>18</v>
      </c>
      <c r="D30" s="107">
        <f>D192</f>
        <v>9019583</v>
      </c>
      <c r="E30" s="107">
        <f>E192</f>
        <v>499894</v>
      </c>
      <c r="F30" s="107">
        <f>F192</f>
        <v>8813432.780000001</v>
      </c>
      <c r="G30" s="107">
        <f>G192</f>
        <v>9153345</v>
      </c>
      <c r="H30" s="26" t="e">
        <f>H192</f>
        <v>#REF!</v>
      </c>
      <c r="I30" s="137">
        <f>G30/F30</f>
        <v>1.0385675171621378</v>
      </c>
      <c r="J30" s="138">
        <f>G30/G$394</f>
        <v>0.32957717846336626</v>
      </c>
    </row>
    <row r="31" spans="1:10" ht="12.75">
      <c r="A31" s="7"/>
      <c r="B31" s="33"/>
      <c r="C31" s="10"/>
      <c r="D31" s="107"/>
      <c r="E31" s="107"/>
      <c r="F31" s="107"/>
      <c r="G31" s="107"/>
      <c r="H31" s="26"/>
      <c r="I31" s="137"/>
      <c r="J31" s="138"/>
    </row>
    <row r="32" spans="1:10" ht="15">
      <c r="A32" s="7">
        <v>11</v>
      </c>
      <c r="B32" s="56">
        <v>758</v>
      </c>
      <c r="C32" s="13" t="s">
        <v>129</v>
      </c>
      <c r="D32" s="107">
        <f>D248</f>
        <v>2544642</v>
      </c>
      <c r="E32" s="107" t="e">
        <f>E248</f>
        <v>#REF!</v>
      </c>
      <c r="F32" s="107">
        <f>F248</f>
        <v>2544056.22</v>
      </c>
      <c r="G32" s="107">
        <f>G248</f>
        <v>2046476</v>
      </c>
      <c r="H32" s="26" t="e">
        <f>H248</f>
        <v>#REF!</v>
      </c>
      <c r="I32" s="137">
        <f>G32/F32</f>
        <v>0.8044146131330383</v>
      </c>
      <c r="J32" s="138">
        <f>G32/G$394</f>
        <v>0.07368582587818943</v>
      </c>
    </row>
    <row r="33" spans="1:10" ht="12.75">
      <c r="A33" s="7"/>
      <c r="B33" s="33"/>
      <c r="C33" s="10"/>
      <c r="D33" s="107"/>
      <c r="E33" s="107"/>
      <c r="F33" s="107"/>
      <c r="G33" s="107"/>
      <c r="H33" s="26"/>
      <c r="I33" s="137"/>
      <c r="J33" s="138"/>
    </row>
    <row r="34" spans="1:10" ht="15">
      <c r="A34" s="7">
        <v>12</v>
      </c>
      <c r="B34" s="56">
        <v>801</v>
      </c>
      <c r="C34" s="16" t="s">
        <v>14</v>
      </c>
      <c r="D34" s="107">
        <f>D274</f>
        <v>545482</v>
      </c>
      <c r="E34" s="107" t="e">
        <f>E274</f>
        <v>#REF!</v>
      </c>
      <c r="F34" s="107">
        <f>F274</f>
        <v>531290</v>
      </c>
      <c r="G34" s="107">
        <f>G274</f>
        <v>529686</v>
      </c>
      <c r="H34" s="26" t="e">
        <f>H274</f>
        <v>#REF!</v>
      </c>
      <c r="I34" s="137">
        <f>G34/F34</f>
        <v>0.9969809332003238</v>
      </c>
      <c r="J34" s="138">
        <f>G34/G$394</f>
        <v>0.019071980500193823</v>
      </c>
    </row>
    <row r="35" spans="1:10" ht="15">
      <c r="A35" s="7"/>
      <c r="B35" s="56"/>
      <c r="C35" s="16"/>
      <c r="D35" s="107"/>
      <c r="E35" s="107"/>
      <c r="F35" s="107"/>
      <c r="G35" s="107"/>
      <c r="H35" s="26"/>
      <c r="I35" s="137"/>
      <c r="J35" s="138"/>
    </row>
    <row r="36" spans="1:10" ht="15">
      <c r="A36" s="7">
        <v>13</v>
      </c>
      <c r="B36" s="57">
        <v>852</v>
      </c>
      <c r="C36" s="35" t="s">
        <v>132</v>
      </c>
      <c r="D36" s="107">
        <f>D321</f>
        <v>2052645</v>
      </c>
      <c r="E36" s="107"/>
      <c r="F36" s="107">
        <f>F321</f>
        <v>2055285</v>
      </c>
      <c r="G36" s="107">
        <f>G321</f>
        <v>1723000</v>
      </c>
      <c r="H36" s="26"/>
      <c r="I36" s="137">
        <f>G36/F36</f>
        <v>0.8383265581172441</v>
      </c>
      <c r="J36" s="138">
        <f>G39/G$394</f>
        <v>0.0022503875527427834</v>
      </c>
    </row>
    <row r="37" spans="1:10" ht="12.75">
      <c r="A37" s="7"/>
      <c r="B37" s="33"/>
      <c r="C37" s="10"/>
      <c r="D37" s="107"/>
      <c r="E37" s="107"/>
      <c r="F37" s="107"/>
      <c r="G37" s="107"/>
      <c r="H37" s="26"/>
      <c r="I37" s="137"/>
      <c r="J37" s="138"/>
    </row>
    <row r="38" spans="1:10" ht="15">
      <c r="A38" s="7">
        <v>14</v>
      </c>
      <c r="B38" s="57">
        <v>854</v>
      </c>
      <c r="C38" s="35" t="s">
        <v>32</v>
      </c>
      <c r="D38" s="107"/>
      <c r="E38" s="107"/>
      <c r="F38" s="107"/>
      <c r="G38" s="107"/>
      <c r="H38" s="26"/>
      <c r="I38" s="137"/>
      <c r="J38" s="138"/>
    </row>
    <row r="39" spans="1:10" ht="15">
      <c r="A39" s="7"/>
      <c r="B39" s="57"/>
      <c r="C39" s="35" t="s">
        <v>33</v>
      </c>
      <c r="D39" s="108">
        <f>D365</f>
        <v>220998</v>
      </c>
      <c r="E39" s="108" t="e">
        <f>E365</f>
        <v>#REF!</v>
      </c>
      <c r="F39" s="108">
        <f>F365</f>
        <v>190865</v>
      </c>
      <c r="G39" s="108">
        <f>G365</f>
        <v>62500</v>
      </c>
      <c r="H39" s="55" t="e">
        <f>H365</f>
        <v>#REF!</v>
      </c>
      <c r="I39" s="137">
        <f>G39/F39</f>
        <v>0.3274565792575904</v>
      </c>
      <c r="J39" s="138">
        <f>G42/G$394</f>
        <v>0</v>
      </c>
    </row>
    <row r="40" spans="1:10" ht="12.75">
      <c r="A40" s="11"/>
      <c r="B40" s="33"/>
      <c r="C40" s="10"/>
      <c r="D40" s="107"/>
      <c r="E40" s="107"/>
      <c r="F40" s="107"/>
      <c r="G40" s="107"/>
      <c r="H40" s="26"/>
      <c r="I40" s="137"/>
      <c r="J40" s="138"/>
    </row>
    <row r="41" spans="1:10" ht="15">
      <c r="A41" s="11">
        <v>15</v>
      </c>
      <c r="B41" s="56">
        <v>900</v>
      </c>
      <c r="C41" s="13" t="s">
        <v>4</v>
      </c>
      <c r="D41" s="107"/>
      <c r="E41" s="107"/>
      <c r="F41" s="107"/>
      <c r="G41" s="107"/>
      <c r="H41" s="26"/>
      <c r="I41" s="137"/>
      <c r="J41" s="138"/>
    </row>
    <row r="42" spans="1:10" ht="15">
      <c r="A42" s="11"/>
      <c r="B42" s="56"/>
      <c r="C42" s="13" t="s">
        <v>30</v>
      </c>
      <c r="D42" s="107">
        <f>D387</f>
        <v>0</v>
      </c>
      <c r="E42" s="107" t="e">
        <f>E387</f>
        <v>#REF!</v>
      </c>
      <c r="F42" s="107">
        <f>F387</f>
        <v>0</v>
      </c>
      <c r="G42" s="107">
        <f>G387</f>
        <v>0</v>
      </c>
      <c r="H42" s="26" t="e">
        <f>H387</f>
        <v>#REF!</v>
      </c>
      <c r="I42" s="137"/>
      <c r="J42" s="138">
        <f>G42/G$394</f>
        <v>0</v>
      </c>
    </row>
    <row r="43" spans="1:10" ht="15">
      <c r="A43" s="11"/>
      <c r="B43" s="56"/>
      <c r="C43" s="13"/>
      <c r="D43" s="107"/>
      <c r="E43" s="107"/>
      <c r="F43" s="107"/>
      <c r="G43" s="107"/>
      <c r="H43" s="26"/>
      <c r="I43" s="137"/>
      <c r="J43" s="138"/>
    </row>
    <row r="44" spans="1:10" ht="15">
      <c r="A44" s="11">
        <v>16</v>
      </c>
      <c r="B44" s="56">
        <v>921</v>
      </c>
      <c r="C44" s="13" t="s">
        <v>173</v>
      </c>
      <c r="D44" s="107"/>
      <c r="E44" s="107"/>
      <c r="F44" s="107"/>
      <c r="G44" s="107"/>
      <c r="H44" s="26"/>
      <c r="I44" s="137"/>
      <c r="J44" s="138"/>
    </row>
    <row r="45" spans="1:10" ht="15">
      <c r="A45" s="11"/>
      <c r="B45" s="56"/>
      <c r="C45" s="13" t="s">
        <v>174</v>
      </c>
      <c r="D45" s="107">
        <f>D391</f>
        <v>100000</v>
      </c>
      <c r="E45" s="107"/>
      <c r="F45" s="107">
        <f>F391</f>
        <v>100000</v>
      </c>
      <c r="G45" s="107">
        <f>G391</f>
        <v>0</v>
      </c>
      <c r="H45" s="26"/>
      <c r="I45" s="137"/>
      <c r="J45" s="138">
        <f>G45/G$394</f>
        <v>0</v>
      </c>
    </row>
    <row r="46" spans="1:10" ht="15">
      <c r="A46" s="11"/>
      <c r="B46" s="56"/>
      <c r="C46" s="13"/>
      <c r="D46" s="107"/>
      <c r="E46" s="107"/>
      <c r="F46" s="107"/>
      <c r="G46" s="107"/>
      <c r="H46" s="26"/>
      <c r="I46" s="137"/>
      <c r="J46" s="138"/>
    </row>
    <row r="47" spans="1:10" ht="12.75">
      <c r="A47" s="76"/>
      <c r="B47" s="77"/>
      <c r="C47" s="77" t="s">
        <v>6</v>
      </c>
      <c r="D47" s="110">
        <f>SUM(D8:D45)</f>
        <v>23457464</v>
      </c>
      <c r="E47" s="110" t="e">
        <f>SUM(E8:E42)</f>
        <v>#REF!</v>
      </c>
      <c r="F47" s="110">
        <f>SUM(F8:F45)</f>
        <v>22459771</v>
      </c>
      <c r="G47" s="110">
        <f>SUM(G8:G45)</f>
        <v>27772994</v>
      </c>
      <c r="H47" s="78" t="e">
        <f>SUM(H8:H42)</f>
        <v>#REF!</v>
      </c>
      <c r="I47" s="139">
        <f>G47/F47</f>
        <v>1.2365662143215974</v>
      </c>
      <c r="J47" s="140">
        <f>G47/G$394</f>
        <v>1</v>
      </c>
    </row>
    <row r="48" spans="1:10" s="86" customFormat="1" ht="12.75">
      <c r="A48" s="83"/>
      <c r="B48" s="84"/>
      <c r="C48" s="84"/>
      <c r="D48" s="111"/>
      <c r="E48" s="111"/>
      <c r="F48" s="111"/>
      <c r="G48" s="111"/>
      <c r="H48" s="85"/>
      <c r="I48" s="141"/>
      <c r="J48" s="142"/>
    </row>
    <row r="49" spans="1:10" ht="12.75">
      <c r="A49" s="83"/>
      <c r="B49" s="84"/>
      <c r="C49" s="84"/>
      <c r="D49" s="111"/>
      <c r="E49" s="111"/>
      <c r="F49" s="111"/>
      <c r="G49" s="111"/>
      <c r="H49" s="85"/>
      <c r="I49" s="141"/>
      <c r="J49" s="142"/>
    </row>
    <row r="50" spans="1:10" s="86" customFormat="1" ht="12.75">
      <c r="A50" s="83"/>
      <c r="B50" s="84"/>
      <c r="C50" s="84"/>
      <c r="D50" s="111"/>
      <c r="E50" s="111"/>
      <c r="F50" s="111"/>
      <c r="G50" s="111"/>
      <c r="H50" s="85"/>
      <c r="I50" s="141"/>
      <c r="J50" s="142"/>
    </row>
    <row r="51" spans="1:10" s="86" customFormat="1" ht="12.75">
      <c r="A51" s="83"/>
      <c r="B51" s="84"/>
      <c r="C51" s="84"/>
      <c r="D51" s="111"/>
      <c r="E51" s="111"/>
      <c r="F51" s="111"/>
      <c r="G51" s="111"/>
      <c r="H51" s="85"/>
      <c r="I51" s="141"/>
      <c r="J51" s="142"/>
    </row>
    <row r="52" spans="1:10" ht="12.75">
      <c r="A52" s="22"/>
      <c r="B52" s="5" t="s">
        <v>7</v>
      </c>
      <c r="C52" s="5"/>
      <c r="D52" s="112"/>
      <c r="E52" s="112"/>
      <c r="F52" s="112"/>
      <c r="G52" s="112"/>
      <c r="H52" s="82"/>
      <c r="I52" s="143"/>
      <c r="J52" s="144"/>
    </row>
    <row r="53" spans="1:10" ht="12.75">
      <c r="A53" s="7"/>
      <c r="B53" s="7"/>
      <c r="C53" s="63"/>
      <c r="D53" s="99" t="s">
        <v>119</v>
      </c>
      <c r="E53" s="100"/>
      <c r="F53" s="101" t="s">
        <v>117</v>
      </c>
      <c r="G53" s="102" t="s">
        <v>107</v>
      </c>
      <c r="H53" s="62" t="s">
        <v>107</v>
      </c>
      <c r="I53" s="131" t="s">
        <v>161</v>
      </c>
      <c r="J53" s="71" t="s">
        <v>244</v>
      </c>
    </row>
    <row r="54" spans="1:10" ht="12.75">
      <c r="A54" s="7" t="s">
        <v>1</v>
      </c>
      <c r="B54" s="24" t="s">
        <v>2</v>
      </c>
      <c r="C54" s="8" t="s">
        <v>3</v>
      </c>
      <c r="D54" s="103" t="s">
        <v>189</v>
      </c>
      <c r="E54" s="104" t="s">
        <v>102</v>
      </c>
      <c r="F54" s="103" t="s">
        <v>118</v>
      </c>
      <c r="G54" s="101" t="s">
        <v>230</v>
      </c>
      <c r="H54" s="65" t="s">
        <v>108</v>
      </c>
      <c r="I54" s="132"/>
      <c r="J54" s="72" t="s">
        <v>245</v>
      </c>
    </row>
    <row r="55" spans="1:10" ht="12.75">
      <c r="A55" s="9"/>
      <c r="B55" s="9"/>
      <c r="C55" s="9"/>
      <c r="D55" s="105" t="s">
        <v>229</v>
      </c>
      <c r="E55" s="106" t="s">
        <v>103</v>
      </c>
      <c r="F55" s="105" t="s">
        <v>193</v>
      </c>
      <c r="G55" s="105"/>
      <c r="H55" s="30"/>
      <c r="I55" s="133" t="s">
        <v>94</v>
      </c>
      <c r="J55" s="73" t="s">
        <v>193</v>
      </c>
    </row>
    <row r="56" spans="1:10" ht="12.75">
      <c r="A56" s="61">
        <v>1</v>
      </c>
      <c r="B56" s="25">
        <v>2</v>
      </c>
      <c r="C56" s="25">
        <v>3</v>
      </c>
      <c r="D56" s="125">
        <v>4</v>
      </c>
      <c r="E56" s="125">
        <v>5</v>
      </c>
      <c r="F56" s="125">
        <v>5</v>
      </c>
      <c r="G56" s="125">
        <v>6</v>
      </c>
      <c r="H56" s="31">
        <v>6</v>
      </c>
      <c r="I56" s="134">
        <v>7</v>
      </c>
      <c r="J56" s="135">
        <v>8</v>
      </c>
    </row>
    <row r="57" spans="1:10" s="4" customFormat="1" ht="15">
      <c r="A57" s="154">
        <v>1</v>
      </c>
      <c r="B57" s="90" t="s">
        <v>231</v>
      </c>
      <c r="C57" s="91" t="s">
        <v>232</v>
      </c>
      <c r="D57" s="93">
        <f>D58</f>
        <v>55</v>
      </c>
      <c r="E57" s="93"/>
      <c r="F57" s="93">
        <f>F58</f>
        <v>55</v>
      </c>
      <c r="G57" s="93">
        <f>G58</f>
        <v>0</v>
      </c>
      <c r="H57" s="93"/>
      <c r="I57" s="136"/>
      <c r="J57" s="136"/>
    </row>
    <row r="58" spans="1:10" s="3" customFormat="1" ht="12.75">
      <c r="A58" s="155">
        <f>A57+1</f>
        <v>2</v>
      </c>
      <c r="B58" s="92" t="s">
        <v>233</v>
      </c>
      <c r="C58" s="15" t="s">
        <v>8</v>
      </c>
      <c r="D58" s="94">
        <f>D59</f>
        <v>55</v>
      </c>
      <c r="E58" s="94"/>
      <c r="F58" s="94">
        <f>F59</f>
        <v>55</v>
      </c>
      <c r="G58" s="94">
        <f>G59</f>
        <v>0</v>
      </c>
      <c r="H58" s="94"/>
      <c r="I58" s="145"/>
      <c r="J58" s="145"/>
    </row>
    <row r="59" spans="1:10" ht="12.75">
      <c r="A59" s="155">
        <f aca="true" t="shared" si="0" ref="A59:A125">A58+1</f>
        <v>3</v>
      </c>
      <c r="B59" s="46" t="s">
        <v>134</v>
      </c>
      <c r="C59" s="50" t="s">
        <v>52</v>
      </c>
      <c r="D59" s="95">
        <v>55</v>
      </c>
      <c r="E59" s="95"/>
      <c r="F59" s="95">
        <v>55</v>
      </c>
      <c r="G59" s="95">
        <v>0</v>
      </c>
      <c r="H59" s="95"/>
      <c r="I59" s="146"/>
      <c r="J59" s="146"/>
    </row>
    <row r="60" spans="1:10" ht="12.75">
      <c r="A60" s="155">
        <f t="shared" si="0"/>
        <v>4</v>
      </c>
      <c r="B60" s="88"/>
      <c r="C60" s="88"/>
      <c r="D60" s="95"/>
      <c r="E60" s="95"/>
      <c r="F60" s="95"/>
      <c r="G60" s="95"/>
      <c r="H60" s="95"/>
      <c r="I60" s="146"/>
      <c r="J60" s="146"/>
    </row>
    <row r="61" spans="1:10" s="4" customFormat="1" ht="15">
      <c r="A61" s="155">
        <f t="shared" si="0"/>
        <v>5</v>
      </c>
      <c r="B61" s="12">
        <v>600</v>
      </c>
      <c r="C61" s="13" t="s">
        <v>29</v>
      </c>
      <c r="D61" s="113">
        <f>D62+D66+D71</f>
        <v>168900</v>
      </c>
      <c r="E61" s="113">
        <f>E62+E66</f>
        <v>0</v>
      </c>
      <c r="F61" s="113">
        <f>F62+F66+F71</f>
        <v>148920</v>
      </c>
      <c r="G61" s="113">
        <f>G62+G66+G71</f>
        <v>250000</v>
      </c>
      <c r="H61" s="20">
        <f>H62</f>
        <v>0</v>
      </c>
      <c r="I61" s="137">
        <f>G61/F61</f>
        <v>1.678753693258125</v>
      </c>
      <c r="J61" s="138">
        <f>G61/G$394</f>
        <v>0.009001550210971133</v>
      </c>
    </row>
    <row r="62" spans="1:10" s="41" customFormat="1" ht="12.75">
      <c r="A62" s="155">
        <f t="shared" si="0"/>
        <v>6</v>
      </c>
      <c r="B62" s="42">
        <v>60014</v>
      </c>
      <c r="C62" s="39" t="s">
        <v>72</v>
      </c>
      <c r="D62" s="114">
        <f>D65</f>
        <v>28200</v>
      </c>
      <c r="E62" s="114">
        <f>E65</f>
        <v>0</v>
      </c>
      <c r="F62" s="114">
        <f>F65</f>
        <v>28200</v>
      </c>
      <c r="G62" s="114">
        <f>G65</f>
        <v>0</v>
      </c>
      <c r="H62" s="40">
        <f>H65</f>
        <v>0</v>
      </c>
      <c r="I62" s="147">
        <f>G62/F62</f>
        <v>0</v>
      </c>
      <c r="J62" s="148">
        <f>G62/G$394</f>
        <v>0</v>
      </c>
    </row>
    <row r="63" spans="1:10" s="49" customFormat="1" ht="12.75">
      <c r="A63" s="155">
        <f t="shared" si="0"/>
        <v>7</v>
      </c>
      <c r="B63" s="46">
        <v>2320</v>
      </c>
      <c r="C63" s="50" t="s">
        <v>73</v>
      </c>
      <c r="D63" s="115"/>
      <c r="E63" s="115"/>
      <c r="F63" s="115"/>
      <c r="G63" s="115"/>
      <c r="H63" s="48"/>
      <c r="I63" s="149"/>
      <c r="J63" s="150"/>
    </row>
    <row r="64" spans="1:10" s="49" customFormat="1" ht="12.75">
      <c r="A64" s="155">
        <f t="shared" si="0"/>
        <v>8</v>
      </c>
      <c r="B64" s="46"/>
      <c r="C64" s="50" t="s">
        <v>158</v>
      </c>
      <c r="D64" s="115"/>
      <c r="E64" s="115"/>
      <c r="F64" s="115"/>
      <c r="G64" s="115"/>
      <c r="H64" s="48"/>
      <c r="I64" s="149"/>
      <c r="J64" s="150"/>
    </row>
    <row r="65" spans="1:10" s="49" customFormat="1" ht="12.75">
      <c r="A65" s="155">
        <f t="shared" si="0"/>
        <v>9</v>
      </c>
      <c r="B65" s="46"/>
      <c r="C65" s="50" t="s">
        <v>74</v>
      </c>
      <c r="D65" s="115">
        <v>28200</v>
      </c>
      <c r="E65" s="115">
        <v>0</v>
      </c>
      <c r="F65" s="115">
        <v>28200</v>
      </c>
      <c r="G65" s="115">
        <v>0</v>
      </c>
      <c r="H65" s="48">
        <v>0</v>
      </c>
      <c r="I65" s="149">
        <f>G65/F65</f>
        <v>0</v>
      </c>
      <c r="J65" s="150">
        <f>G65/G$394</f>
        <v>0</v>
      </c>
    </row>
    <row r="66" spans="1:10" s="70" customFormat="1" ht="12.75">
      <c r="A66" s="155">
        <f t="shared" si="0"/>
        <v>10</v>
      </c>
      <c r="B66" s="42">
        <v>60016</v>
      </c>
      <c r="C66" s="68" t="s">
        <v>114</v>
      </c>
      <c r="D66" s="116">
        <f>SUM(D68:D70)</f>
        <v>140700</v>
      </c>
      <c r="E66" s="116">
        <f>SUM(E70)</f>
        <v>0</v>
      </c>
      <c r="F66" s="116">
        <f>SUM(F68:F70)</f>
        <v>120720</v>
      </c>
      <c r="G66" s="116">
        <f>SUM(G68:G70)</f>
        <v>100000</v>
      </c>
      <c r="H66" s="69"/>
      <c r="I66" s="147">
        <f>G66/F66</f>
        <v>0.828363154406892</v>
      </c>
      <c r="J66" s="164">
        <f>H66/G66</f>
        <v>0</v>
      </c>
    </row>
    <row r="67" spans="1:10" s="49" customFormat="1" ht="12.75">
      <c r="A67" s="155">
        <f t="shared" si="0"/>
        <v>11</v>
      </c>
      <c r="B67" s="46" t="s">
        <v>131</v>
      </c>
      <c r="C67" s="50" t="s">
        <v>194</v>
      </c>
      <c r="D67" s="115"/>
      <c r="E67" s="115"/>
      <c r="F67" s="115"/>
      <c r="G67" s="115"/>
      <c r="H67" s="48"/>
      <c r="I67" s="149"/>
      <c r="J67" s="150"/>
    </row>
    <row r="68" spans="1:10" s="49" customFormat="1" ht="12.75">
      <c r="A68" s="155">
        <f t="shared" si="0"/>
        <v>12</v>
      </c>
      <c r="B68" s="53"/>
      <c r="C68" s="50" t="s">
        <v>195</v>
      </c>
      <c r="D68" s="115">
        <v>125000</v>
      </c>
      <c r="E68" s="115"/>
      <c r="F68" s="115">
        <v>105000</v>
      </c>
      <c r="G68" s="115">
        <v>100000</v>
      </c>
      <c r="H68" s="48"/>
      <c r="I68" s="149">
        <f>G68/F68</f>
        <v>0.9523809523809523</v>
      </c>
      <c r="J68" s="150">
        <f>G68/G$394</f>
        <v>0.003600620084388453</v>
      </c>
    </row>
    <row r="69" spans="1:10" s="49" customFormat="1" ht="12.75">
      <c r="A69" s="155">
        <f t="shared" si="0"/>
        <v>13</v>
      </c>
      <c r="B69" s="46" t="s">
        <v>136</v>
      </c>
      <c r="C69" s="7" t="s">
        <v>98</v>
      </c>
      <c r="D69" s="115">
        <v>100</v>
      </c>
      <c r="E69" s="115"/>
      <c r="F69" s="115">
        <v>111</v>
      </c>
      <c r="G69" s="115">
        <v>0</v>
      </c>
      <c r="H69" s="48"/>
      <c r="I69" s="149">
        <f>G69/F69</f>
        <v>0</v>
      </c>
      <c r="J69" s="150">
        <f>G69/G$394</f>
        <v>0</v>
      </c>
    </row>
    <row r="70" spans="1:10" s="49" customFormat="1" ht="12.75">
      <c r="A70" s="155">
        <f t="shared" si="0"/>
        <v>14</v>
      </c>
      <c r="B70" s="46" t="s">
        <v>134</v>
      </c>
      <c r="C70" s="50" t="s">
        <v>52</v>
      </c>
      <c r="D70" s="115">
        <v>15600</v>
      </c>
      <c r="E70" s="115"/>
      <c r="F70" s="115">
        <v>15609</v>
      </c>
      <c r="G70" s="115">
        <v>0</v>
      </c>
      <c r="H70" s="48"/>
      <c r="I70" s="149">
        <f>G70/F70</f>
        <v>0</v>
      </c>
      <c r="J70" s="150">
        <f>G70/G$394</f>
        <v>0</v>
      </c>
    </row>
    <row r="71" spans="1:10" s="49" customFormat="1" ht="12.75">
      <c r="A71" s="155">
        <f t="shared" si="0"/>
        <v>15</v>
      </c>
      <c r="B71" s="14">
        <v>60095</v>
      </c>
      <c r="C71" s="15" t="s">
        <v>8</v>
      </c>
      <c r="D71" s="165">
        <f>SUM(D74)</f>
        <v>0</v>
      </c>
      <c r="E71" s="165"/>
      <c r="F71" s="165">
        <f>SUM(F74)</f>
        <v>0</v>
      </c>
      <c r="G71" s="165">
        <f>SUM(G74)</f>
        <v>150000</v>
      </c>
      <c r="H71" s="166"/>
      <c r="I71" s="167"/>
      <c r="J71" s="150">
        <f>G71/G$394</f>
        <v>0.005400930126582679</v>
      </c>
    </row>
    <row r="72" spans="1:10" s="49" customFormat="1" ht="12.75">
      <c r="A72" s="155">
        <f t="shared" si="0"/>
        <v>16</v>
      </c>
      <c r="B72" s="46" t="s">
        <v>141</v>
      </c>
      <c r="C72" s="50" t="s">
        <v>248</v>
      </c>
      <c r="D72" s="115"/>
      <c r="E72" s="115"/>
      <c r="F72" s="115"/>
      <c r="G72" s="115"/>
      <c r="H72" s="48"/>
      <c r="I72" s="149"/>
      <c r="J72" s="150"/>
    </row>
    <row r="73" spans="1:10" s="49" customFormat="1" ht="12.75">
      <c r="A73" s="155">
        <f t="shared" si="0"/>
        <v>17</v>
      </c>
      <c r="B73" s="46"/>
      <c r="C73" s="50" t="s">
        <v>249</v>
      </c>
      <c r="D73" s="115"/>
      <c r="E73" s="115"/>
      <c r="F73" s="115"/>
      <c r="G73" s="115"/>
      <c r="H73" s="48"/>
      <c r="I73" s="149"/>
      <c r="J73" s="150"/>
    </row>
    <row r="74" spans="1:10" s="49" customFormat="1" ht="12.75">
      <c r="A74" s="155">
        <f t="shared" si="0"/>
        <v>18</v>
      </c>
      <c r="B74" s="46"/>
      <c r="C74" s="50" t="s">
        <v>250</v>
      </c>
      <c r="D74" s="115">
        <v>0</v>
      </c>
      <c r="E74" s="115"/>
      <c r="F74" s="115">
        <v>0</v>
      </c>
      <c r="G74" s="115">
        <v>150000</v>
      </c>
      <c r="H74" s="48"/>
      <c r="I74" s="149"/>
      <c r="J74" s="138">
        <f>G74/G$394</f>
        <v>0.005400930126582679</v>
      </c>
    </row>
    <row r="75" spans="1:10" s="4" customFormat="1" ht="15">
      <c r="A75" s="155">
        <f t="shared" si="0"/>
        <v>19</v>
      </c>
      <c r="B75" s="12">
        <v>630</v>
      </c>
      <c r="C75" s="13" t="s">
        <v>39</v>
      </c>
      <c r="D75" s="113">
        <f>D76</f>
        <v>667025</v>
      </c>
      <c r="E75" s="113">
        <f>E76</f>
        <v>-26400</v>
      </c>
      <c r="F75" s="113">
        <f>F76</f>
        <v>640693</v>
      </c>
      <c r="G75" s="113">
        <f>G76</f>
        <v>640600</v>
      </c>
      <c r="H75" s="20">
        <f>H76</f>
        <v>640050</v>
      </c>
      <c r="I75" s="137">
        <f aca="true" t="shared" si="1" ref="I75:I81">G75/F75</f>
        <v>0.9998548446759993</v>
      </c>
      <c r="J75" s="138">
        <f>G75/G$394</f>
        <v>0.02306557226059243</v>
      </c>
    </row>
    <row r="76" spans="1:10" s="3" customFormat="1" ht="12.75">
      <c r="A76" s="155">
        <f t="shared" si="0"/>
        <v>20</v>
      </c>
      <c r="B76" s="14">
        <v>63095</v>
      </c>
      <c r="C76" s="15" t="s">
        <v>8</v>
      </c>
      <c r="D76" s="117">
        <f>SUM(D77:D79)</f>
        <v>667025</v>
      </c>
      <c r="E76" s="117">
        <f>SUM(E77:E78)</f>
        <v>-26400</v>
      </c>
      <c r="F76" s="117">
        <f>SUM(F77:F79)</f>
        <v>640693</v>
      </c>
      <c r="G76" s="117">
        <f>SUM(G77:G79)</f>
        <v>640600</v>
      </c>
      <c r="H76" s="21">
        <f>SUM(H77:H78)</f>
        <v>640050</v>
      </c>
      <c r="I76" s="147">
        <f t="shared" si="1"/>
        <v>0.9998548446759993</v>
      </c>
      <c r="J76" s="148">
        <f>G76/G$394</f>
        <v>0.02306557226059243</v>
      </c>
    </row>
    <row r="77" spans="1:10" ht="12.75">
      <c r="A77" s="155">
        <f t="shared" si="0"/>
        <v>21</v>
      </c>
      <c r="B77" s="43" t="s">
        <v>135</v>
      </c>
      <c r="C77" s="7" t="s">
        <v>53</v>
      </c>
      <c r="D77" s="118">
        <v>666250</v>
      </c>
      <c r="E77" s="118">
        <f>G77-D77</f>
        <v>-26250</v>
      </c>
      <c r="F77" s="118">
        <v>640000</v>
      </c>
      <c r="G77" s="118">
        <v>640000</v>
      </c>
      <c r="H77" s="27">
        <f>520000+120000</f>
        <v>640000</v>
      </c>
      <c r="I77" s="149">
        <f t="shared" si="1"/>
        <v>1</v>
      </c>
      <c r="J77" s="150">
        <f>G77/G$394</f>
        <v>0.0230439685400861</v>
      </c>
    </row>
    <row r="78" spans="1:10" ht="12.75">
      <c r="A78" s="155">
        <f t="shared" si="0"/>
        <v>22</v>
      </c>
      <c r="B78" s="43" t="s">
        <v>136</v>
      </c>
      <c r="C78" s="7" t="s">
        <v>105</v>
      </c>
      <c r="D78" s="118">
        <v>750</v>
      </c>
      <c r="E78" s="118">
        <f>G78-D78</f>
        <v>-150</v>
      </c>
      <c r="F78" s="118">
        <v>620</v>
      </c>
      <c r="G78" s="118">
        <v>600</v>
      </c>
      <c r="H78" s="27">
        <v>50</v>
      </c>
      <c r="I78" s="149">
        <f t="shared" si="1"/>
        <v>0.967741935483871</v>
      </c>
      <c r="J78" s="150">
        <f>G78/G$394</f>
        <v>2.1603720506330718E-05</v>
      </c>
    </row>
    <row r="79" spans="1:10" ht="12.75">
      <c r="A79" s="155">
        <f t="shared" si="0"/>
        <v>23</v>
      </c>
      <c r="B79" s="46" t="s">
        <v>134</v>
      </c>
      <c r="C79" s="50" t="s">
        <v>52</v>
      </c>
      <c r="D79" s="118">
        <v>25</v>
      </c>
      <c r="E79" s="118"/>
      <c r="F79" s="118">
        <v>73</v>
      </c>
      <c r="G79" s="118">
        <v>0</v>
      </c>
      <c r="H79" s="27"/>
      <c r="I79" s="149"/>
      <c r="J79" s="150"/>
    </row>
    <row r="80" spans="1:12" s="4" customFormat="1" ht="15">
      <c r="A80" s="155">
        <f t="shared" si="0"/>
        <v>24</v>
      </c>
      <c r="B80" s="12">
        <v>700</v>
      </c>
      <c r="C80" s="13" t="s">
        <v>31</v>
      </c>
      <c r="D80" s="113">
        <f>D81+D110+D114</f>
        <v>7682642</v>
      </c>
      <c r="E80" s="113" t="e">
        <f>E81+E110</f>
        <v>#REF!</v>
      </c>
      <c r="F80" s="113">
        <f>F81+F110+F114</f>
        <v>6953223</v>
      </c>
      <c r="G80" s="113">
        <f>G81+G110+G114</f>
        <v>13091523</v>
      </c>
      <c r="H80" s="20" t="e">
        <f>#REF!+H81+H110</f>
        <v>#REF!</v>
      </c>
      <c r="I80" s="137">
        <f t="shared" si="1"/>
        <v>1.88279924288348</v>
      </c>
      <c r="J80" s="138">
        <f>G80/G$394</f>
        <v>0.47137600649033373</v>
      </c>
      <c r="L80" s="64"/>
    </row>
    <row r="81" spans="1:10" s="3" customFormat="1" ht="12.75">
      <c r="A81" s="155">
        <f t="shared" si="0"/>
        <v>25</v>
      </c>
      <c r="B81" s="14">
        <v>70005</v>
      </c>
      <c r="C81" s="15" t="s">
        <v>10</v>
      </c>
      <c r="D81" s="117">
        <f>D83+D91+D94+D97+D98+D99+D107+D109</f>
        <v>6932900</v>
      </c>
      <c r="E81" s="117" t="e">
        <f>E83+E91+E94+E97+E98+#REF!+E107+E109</f>
        <v>#REF!</v>
      </c>
      <c r="F81" s="117">
        <f>F83+F91+F94+F97+F98+F99+F107+F109</f>
        <v>6460019</v>
      </c>
      <c r="G81" s="117">
        <f>G83+G91+G94+G97+G98+G99+G107+G109</f>
        <v>12408523</v>
      </c>
      <c r="H81" s="21" t="e">
        <f>H83+H91+H94+H97+H98+#REF!+H107+H108</f>
        <v>#REF!</v>
      </c>
      <c r="I81" s="147">
        <f t="shared" si="1"/>
        <v>1.9208183443423308</v>
      </c>
      <c r="J81" s="148">
        <f>G81/G$394</f>
        <v>0.44678377131396063</v>
      </c>
    </row>
    <row r="82" spans="1:10" ht="12.75">
      <c r="A82" s="155">
        <f t="shared" si="0"/>
        <v>26</v>
      </c>
      <c r="B82" s="43" t="s">
        <v>137</v>
      </c>
      <c r="C82" s="7" t="s">
        <v>60</v>
      </c>
      <c r="D82" s="118"/>
      <c r="E82" s="118"/>
      <c r="F82" s="118"/>
      <c r="G82" s="118"/>
      <c r="H82" s="27"/>
      <c r="I82" s="149"/>
      <c r="J82" s="150"/>
    </row>
    <row r="83" spans="1:10" ht="12.75">
      <c r="A83" s="155">
        <f t="shared" si="0"/>
        <v>27</v>
      </c>
      <c r="B83" s="43"/>
      <c r="C83" s="7" t="s">
        <v>61</v>
      </c>
      <c r="D83" s="118">
        <f>SUM(D85:D87)</f>
        <v>908200</v>
      </c>
      <c r="E83" s="118">
        <f>G83-D83</f>
        <v>23</v>
      </c>
      <c r="F83" s="118">
        <f>SUM(F85:F87)</f>
        <v>1008223</v>
      </c>
      <c r="G83" s="118">
        <f>SUM(G85:G87)</f>
        <v>908223</v>
      </c>
      <c r="H83" s="27">
        <f>600000+30000+50000</f>
        <v>680000</v>
      </c>
      <c r="I83" s="149">
        <f>G83/F83</f>
        <v>0.9008155933756719</v>
      </c>
      <c r="J83" s="150">
        <f>G83/G$394</f>
        <v>0.03270165974903534</v>
      </c>
    </row>
    <row r="84" spans="1:10" ht="12.75">
      <c r="A84" s="155">
        <f t="shared" si="0"/>
        <v>28</v>
      </c>
      <c r="B84" s="43"/>
      <c r="C84" s="7" t="s">
        <v>9</v>
      </c>
      <c r="D84" s="118"/>
      <c r="E84" s="118"/>
      <c r="F84" s="118"/>
      <c r="G84" s="118"/>
      <c r="H84" s="27"/>
      <c r="I84" s="149"/>
      <c r="J84" s="150"/>
    </row>
    <row r="85" spans="1:10" ht="12.75">
      <c r="A85" s="155">
        <f t="shared" si="0"/>
        <v>29</v>
      </c>
      <c r="B85" s="43"/>
      <c r="C85" s="7" t="s">
        <v>123</v>
      </c>
      <c r="D85" s="118">
        <v>900000</v>
      </c>
      <c r="E85" s="118"/>
      <c r="F85" s="118">
        <v>1000000</v>
      </c>
      <c r="G85" s="118">
        <v>900000</v>
      </c>
      <c r="H85" s="27"/>
      <c r="I85" s="149">
        <f>G85/F85</f>
        <v>0.9</v>
      </c>
      <c r="J85" s="150">
        <f>G85/G$394</f>
        <v>0.03240558075949608</v>
      </c>
    </row>
    <row r="86" spans="1:10" ht="12.75">
      <c r="A86" s="155">
        <f t="shared" si="0"/>
        <v>30</v>
      </c>
      <c r="B86" s="43"/>
      <c r="C86" s="44" t="s">
        <v>130</v>
      </c>
      <c r="D86" s="118">
        <v>5000</v>
      </c>
      <c r="E86" s="118"/>
      <c r="F86" s="118">
        <v>5000</v>
      </c>
      <c r="G86" s="118">
        <v>5000</v>
      </c>
      <c r="H86" s="27"/>
      <c r="I86" s="149">
        <f>G86/F86</f>
        <v>1</v>
      </c>
      <c r="J86" s="150">
        <f>G86/G$394</f>
        <v>0.00018003100421942265</v>
      </c>
    </row>
    <row r="87" spans="1:10" ht="12.75">
      <c r="A87" s="155">
        <f t="shared" si="0"/>
        <v>31</v>
      </c>
      <c r="B87" s="43"/>
      <c r="C87" s="44" t="s">
        <v>219</v>
      </c>
      <c r="D87" s="118">
        <v>3200</v>
      </c>
      <c r="E87" s="118"/>
      <c r="F87" s="118">
        <v>3223</v>
      </c>
      <c r="G87" s="118">
        <v>3223</v>
      </c>
      <c r="H87" s="27"/>
      <c r="I87" s="149">
        <f>G87/F87</f>
        <v>1</v>
      </c>
      <c r="J87" s="150">
        <f>G87/G$394</f>
        <v>0.00011604798531983985</v>
      </c>
    </row>
    <row r="88" spans="1:10" ht="12.75">
      <c r="A88" s="155">
        <f t="shared" si="0"/>
        <v>32</v>
      </c>
      <c r="B88" s="43" t="s">
        <v>138</v>
      </c>
      <c r="C88" s="7" t="s">
        <v>55</v>
      </c>
      <c r="D88" s="118"/>
      <c r="E88" s="118"/>
      <c r="F88" s="118"/>
      <c r="G88" s="118"/>
      <c r="H88" s="27"/>
      <c r="I88" s="149"/>
      <c r="J88" s="150"/>
    </row>
    <row r="89" spans="1:10" ht="12.75">
      <c r="A89" s="155">
        <f t="shared" si="0"/>
        <v>33</v>
      </c>
      <c r="B89" s="43"/>
      <c r="C89" s="44" t="s">
        <v>124</v>
      </c>
      <c r="D89" s="118"/>
      <c r="E89" s="118"/>
      <c r="F89" s="118"/>
      <c r="G89" s="118"/>
      <c r="H89" s="27"/>
      <c r="I89" s="149"/>
      <c r="J89" s="150"/>
    </row>
    <row r="90" spans="1:10" ht="12.75">
      <c r="A90" s="155">
        <f t="shared" si="0"/>
        <v>34</v>
      </c>
      <c r="B90" s="43"/>
      <c r="C90" s="7" t="s">
        <v>125</v>
      </c>
      <c r="D90" s="118"/>
      <c r="E90" s="118"/>
      <c r="F90" s="118"/>
      <c r="G90" s="118"/>
      <c r="H90" s="27"/>
      <c r="I90" s="149"/>
      <c r="J90" s="150"/>
    </row>
    <row r="91" spans="1:10" ht="12.75">
      <c r="A91" s="155">
        <f t="shared" si="0"/>
        <v>35</v>
      </c>
      <c r="B91" s="43"/>
      <c r="C91" s="7" t="s">
        <v>126</v>
      </c>
      <c r="D91" s="118">
        <v>1150000</v>
      </c>
      <c r="E91" s="118">
        <f>G91-D91</f>
        <v>50000</v>
      </c>
      <c r="F91" s="118">
        <v>1400000</v>
      </c>
      <c r="G91" s="118">
        <v>1200000</v>
      </c>
      <c r="H91" s="27">
        <v>1015000</v>
      </c>
      <c r="I91" s="149">
        <f>G91/F91</f>
        <v>0.8571428571428571</v>
      </c>
      <c r="J91" s="150">
        <f>G91/G$394</f>
        <v>0.043207441012661434</v>
      </c>
    </row>
    <row r="92" spans="1:10" ht="12.75">
      <c r="A92" s="155">
        <f t="shared" si="0"/>
        <v>36</v>
      </c>
      <c r="B92" s="43" t="s">
        <v>139</v>
      </c>
      <c r="C92" s="7" t="s">
        <v>57</v>
      </c>
      <c r="D92" s="118"/>
      <c r="E92" s="118"/>
      <c r="F92" s="118"/>
      <c r="G92" s="118"/>
      <c r="H92" s="27"/>
      <c r="I92" s="149"/>
      <c r="J92" s="150"/>
    </row>
    <row r="93" spans="1:10" ht="12.75">
      <c r="A93" s="155">
        <f t="shared" si="0"/>
        <v>37</v>
      </c>
      <c r="B93" s="43"/>
      <c r="C93" s="7" t="s">
        <v>58</v>
      </c>
      <c r="D93" s="118"/>
      <c r="E93" s="118"/>
      <c r="F93" s="118"/>
      <c r="G93" s="118"/>
      <c r="H93" s="27"/>
      <c r="I93" s="149"/>
      <c r="J93" s="150"/>
    </row>
    <row r="94" spans="1:10" ht="12.75">
      <c r="A94" s="155">
        <f t="shared" si="0"/>
        <v>38</v>
      </c>
      <c r="B94" s="43"/>
      <c r="C94" s="7" t="s">
        <v>59</v>
      </c>
      <c r="D94" s="118">
        <v>250000</v>
      </c>
      <c r="E94" s="118">
        <f>G94-D94</f>
        <v>-50000</v>
      </c>
      <c r="F94" s="118">
        <v>200000</v>
      </c>
      <c r="G94" s="118">
        <v>200000</v>
      </c>
      <c r="H94" s="27">
        <v>100000</v>
      </c>
      <c r="I94" s="149">
        <f>G94/F94</f>
        <v>1</v>
      </c>
      <c r="J94" s="150">
        <f>G94/G$394</f>
        <v>0.007201240168776906</v>
      </c>
    </row>
    <row r="95" spans="1:10" ht="12.75">
      <c r="A95" s="155">
        <f t="shared" si="0"/>
        <v>39</v>
      </c>
      <c r="B95" s="43" t="s">
        <v>140</v>
      </c>
      <c r="C95" s="7" t="s">
        <v>78</v>
      </c>
      <c r="D95" s="118"/>
      <c r="E95" s="118"/>
      <c r="F95" s="118"/>
      <c r="G95" s="118"/>
      <c r="H95" s="27"/>
      <c r="I95" s="149"/>
      <c r="J95" s="150"/>
    </row>
    <row r="96" spans="1:10" ht="12.75">
      <c r="A96" s="155">
        <f t="shared" si="0"/>
        <v>40</v>
      </c>
      <c r="B96" s="43"/>
      <c r="C96" s="7" t="s">
        <v>182</v>
      </c>
      <c r="D96" s="118"/>
      <c r="E96" s="118"/>
      <c r="F96" s="118"/>
      <c r="G96" s="118"/>
      <c r="H96" s="27"/>
      <c r="I96" s="149"/>
      <c r="J96" s="150"/>
    </row>
    <row r="97" spans="1:10" ht="12.75">
      <c r="A97" s="155">
        <f t="shared" si="0"/>
        <v>41</v>
      </c>
      <c r="B97" s="43"/>
      <c r="C97" s="7" t="s">
        <v>183</v>
      </c>
      <c r="D97" s="118">
        <v>500000</v>
      </c>
      <c r="E97" s="118">
        <f>G97-D97</f>
        <v>-300000</v>
      </c>
      <c r="F97" s="118">
        <v>89000</v>
      </c>
      <c r="G97" s="118">
        <v>200000</v>
      </c>
      <c r="H97" s="27">
        <v>0</v>
      </c>
      <c r="I97" s="149">
        <f>G97/F97</f>
        <v>2.247191011235955</v>
      </c>
      <c r="J97" s="150">
        <f>G97/G$394</f>
        <v>0.007201240168776906</v>
      </c>
    </row>
    <row r="98" spans="1:10" ht="12.75">
      <c r="A98" s="155">
        <f t="shared" si="0"/>
        <v>42</v>
      </c>
      <c r="B98" s="43" t="s">
        <v>141</v>
      </c>
      <c r="C98" s="7" t="s">
        <v>11</v>
      </c>
      <c r="D98" s="118">
        <v>165000</v>
      </c>
      <c r="E98" s="118">
        <f>G98-D98</f>
        <v>-15000</v>
      </c>
      <c r="F98" s="118">
        <v>160000</v>
      </c>
      <c r="G98" s="118">
        <v>150000</v>
      </c>
      <c r="H98" s="27">
        <v>39000</v>
      </c>
      <c r="I98" s="149">
        <f>G98/F98</f>
        <v>0.9375</v>
      </c>
      <c r="J98" s="150">
        <f>G98/G$394</f>
        <v>0.005400930126582679</v>
      </c>
    </row>
    <row r="99" spans="1:10" ht="12.75">
      <c r="A99" s="155">
        <f t="shared" si="0"/>
        <v>43</v>
      </c>
      <c r="B99" s="43" t="s">
        <v>187</v>
      </c>
      <c r="C99" s="44" t="s">
        <v>188</v>
      </c>
      <c r="D99" s="118">
        <f>SUM(D101:D106)</f>
        <v>3883000</v>
      </c>
      <c r="E99" s="118"/>
      <c r="F99" s="118">
        <f>SUM(F101:F106)</f>
        <v>3519196</v>
      </c>
      <c r="G99" s="118">
        <f>SUM(G101:G106)</f>
        <v>9674300</v>
      </c>
      <c r="H99" s="27"/>
      <c r="I99" s="149">
        <f>G99/F99</f>
        <v>2.7490085803689253</v>
      </c>
      <c r="J99" s="150">
        <f>G99/G$394</f>
        <v>0.3483347888239921</v>
      </c>
    </row>
    <row r="100" spans="1:10" ht="12.75">
      <c r="A100" s="155">
        <f t="shared" si="0"/>
        <v>44</v>
      </c>
      <c r="B100" s="43"/>
      <c r="C100" s="7" t="s">
        <v>9</v>
      </c>
      <c r="D100" s="118"/>
      <c r="E100" s="118"/>
      <c r="F100" s="118"/>
      <c r="G100" s="118"/>
      <c r="H100" s="27"/>
      <c r="I100" s="149"/>
      <c r="J100" s="150"/>
    </row>
    <row r="101" spans="1:10" ht="12.75">
      <c r="A101" s="155">
        <f t="shared" si="0"/>
        <v>45</v>
      </c>
      <c r="B101" s="43"/>
      <c r="C101" s="7" t="s">
        <v>12</v>
      </c>
      <c r="D101" s="118">
        <f>3104170+573000</f>
        <v>3677170</v>
      </c>
      <c r="E101" s="118"/>
      <c r="F101" s="118">
        <f>2293866+149500+573000</f>
        <v>3016366</v>
      </c>
      <c r="G101" s="118">
        <v>0</v>
      </c>
      <c r="H101" s="27"/>
      <c r="I101" s="149"/>
      <c r="J101" s="150">
        <f aca="true" t="shared" si="2" ref="J101:J107">G101/G$394</f>
        <v>0</v>
      </c>
    </row>
    <row r="102" spans="1:10" ht="12.75">
      <c r="A102" s="155">
        <f t="shared" si="0"/>
        <v>46</v>
      </c>
      <c r="B102" s="43"/>
      <c r="C102" s="7" t="s">
        <v>217</v>
      </c>
      <c r="D102" s="118">
        <f>55000+47000</f>
        <v>102000</v>
      </c>
      <c r="E102" s="118"/>
      <c r="F102" s="118">
        <v>47000</v>
      </c>
      <c r="G102" s="118">
        <v>0</v>
      </c>
      <c r="H102" s="27"/>
      <c r="I102" s="149"/>
      <c r="J102" s="150">
        <f t="shared" si="2"/>
        <v>0</v>
      </c>
    </row>
    <row r="103" spans="1:10" ht="12.75">
      <c r="A103" s="155">
        <f t="shared" si="0"/>
        <v>47</v>
      </c>
      <c r="B103" s="43"/>
      <c r="C103" s="7" t="s">
        <v>13</v>
      </c>
      <c r="D103" s="118">
        <v>100000</v>
      </c>
      <c r="E103" s="118"/>
      <c r="F103" s="118">
        <v>444000</v>
      </c>
      <c r="G103" s="118">
        <v>200000</v>
      </c>
      <c r="H103" s="27"/>
      <c r="I103" s="149">
        <f>G103/F103</f>
        <v>0.45045045045045046</v>
      </c>
      <c r="J103" s="150">
        <f t="shared" si="2"/>
        <v>0.007201240168776906</v>
      </c>
    </row>
    <row r="104" spans="1:10" ht="12.75">
      <c r="A104" s="155">
        <f t="shared" si="0"/>
        <v>48</v>
      </c>
      <c r="B104" s="43"/>
      <c r="C104" s="7" t="s">
        <v>247</v>
      </c>
      <c r="D104" s="118">
        <v>0</v>
      </c>
      <c r="E104" s="118"/>
      <c r="F104" s="118">
        <v>0</v>
      </c>
      <c r="G104" s="118">
        <v>9464300</v>
      </c>
      <c r="H104" s="27"/>
      <c r="I104" s="149">
        <v>2.6608</v>
      </c>
      <c r="J104" s="150">
        <f t="shared" si="2"/>
        <v>0.34077348664677637</v>
      </c>
    </row>
    <row r="105" spans="1:10" ht="12.75">
      <c r="A105" s="155">
        <f t="shared" si="0"/>
        <v>49</v>
      </c>
      <c r="B105" s="43"/>
      <c r="C105" s="7" t="s">
        <v>196</v>
      </c>
      <c r="D105" s="118">
        <v>2000</v>
      </c>
      <c r="E105" s="118"/>
      <c r="F105" s="118">
        <v>10000</v>
      </c>
      <c r="G105" s="118">
        <v>10000</v>
      </c>
      <c r="H105" s="27"/>
      <c r="I105" s="149">
        <f>G105/F105</f>
        <v>1</v>
      </c>
      <c r="J105" s="150">
        <f t="shared" si="2"/>
        <v>0.0003600620084388453</v>
      </c>
    </row>
    <row r="106" spans="1:10" ht="12.75">
      <c r="A106" s="155">
        <f t="shared" si="0"/>
        <v>50</v>
      </c>
      <c r="B106" s="43"/>
      <c r="C106" s="7" t="s">
        <v>175</v>
      </c>
      <c r="D106" s="118">
        <v>1830</v>
      </c>
      <c r="E106" s="118"/>
      <c r="F106" s="118">
        <v>1830</v>
      </c>
      <c r="G106" s="118">
        <v>0</v>
      </c>
      <c r="H106" s="27"/>
      <c r="I106" s="149">
        <f>G106/F106</f>
        <v>0</v>
      </c>
      <c r="J106" s="150">
        <f t="shared" si="2"/>
        <v>0</v>
      </c>
    </row>
    <row r="107" spans="1:10" ht="12.75">
      <c r="A107" s="155">
        <f t="shared" si="0"/>
        <v>51</v>
      </c>
      <c r="B107" s="43" t="s">
        <v>142</v>
      </c>
      <c r="C107" s="7" t="s">
        <v>67</v>
      </c>
      <c r="D107" s="118">
        <v>62000</v>
      </c>
      <c r="E107" s="118">
        <f>G107-D107</f>
        <v>4000</v>
      </c>
      <c r="F107" s="118">
        <v>66000</v>
      </c>
      <c r="G107" s="118">
        <v>66000</v>
      </c>
      <c r="H107" s="27">
        <v>35000</v>
      </c>
      <c r="I107" s="149">
        <f>G107/F107</f>
        <v>1</v>
      </c>
      <c r="J107" s="150">
        <f t="shared" si="2"/>
        <v>0.002376409255696379</v>
      </c>
    </row>
    <row r="108" spans="1:10" ht="12.75">
      <c r="A108" s="155">
        <f t="shared" si="0"/>
        <v>52</v>
      </c>
      <c r="B108" s="43" t="s">
        <v>134</v>
      </c>
      <c r="C108" s="7" t="s">
        <v>62</v>
      </c>
      <c r="D108" s="118"/>
      <c r="E108" s="118" t="e">
        <f>#REF!</f>
        <v>#REF!</v>
      </c>
      <c r="F108" s="118"/>
      <c r="G108" s="118"/>
      <c r="H108" s="27" t="e">
        <f>#REF!</f>
        <v>#REF!</v>
      </c>
      <c r="I108" s="149"/>
      <c r="J108" s="150"/>
    </row>
    <row r="109" spans="1:10" ht="12.75">
      <c r="A109" s="155">
        <f t="shared" si="0"/>
        <v>53</v>
      </c>
      <c r="B109" s="43"/>
      <c r="C109" s="44" t="s">
        <v>162</v>
      </c>
      <c r="D109" s="118">
        <v>14700</v>
      </c>
      <c r="E109" s="118"/>
      <c r="F109" s="118">
        <v>17600</v>
      </c>
      <c r="G109" s="118">
        <v>10000</v>
      </c>
      <c r="H109" s="27"/>
      <c r="I109" s="149">
        <f>G109/F109</f>
        <v>0.5681818181818182</v>
      </c>
      <c r="J109" s="150">
        <f>G109/G$394</f>
        <v>0.0003600620084388453</v>
      </c>
    </row>
    <row r="110" spans="1:10" s="41" customFormat="1" ht="12.75">
      <c r="A110" s="155">
        <f>A109+1</f>
        <v>54</v>
      </c>
      <c r="B110" s="42">
        <v>70021</v>
      </c>
      <c r="C110" s="54" t="s">
        <v>109</v>
      </c>
      <c r="D110" s="114">
        <f>SUM(D111:D113)</f>
        <v>16000</v>
      </c>
      <c r="E110" s="114"/>
      <c r="F110" s="114">
        <f>SUM(F111:F113)</f>
        <v>18000</v>
      </c>
      <c r="G110" s="114">
        <f>SUM(G111:G113)</f>
        <v>18000</v>
      </c>
      <c r="H110" s="40">
        <f>H113</f>
        <v>98672</v>
      </c>
      <c r="I110" s="147">
        <f>G110/F110</f>
        <v>1</v>
      </c>
      <c r="J110" s="148">
        <f>G110/G$394</f>
        <v>0.0006481116151899215</v>
      </c>
    </row>
    <row r="111" spans="1:10" s="52" customFormat="1" ht="12.75">
      <c r="A111" s="155">
        <f t="shared" si="0"/>
        <v>55</v>
      </c>
      <c r="B111" s="46" t="s">
        <v>142</v>
      </c>
      <c r="C111" s="44" t="s">
        <v>67</v>
      </c>
      <c r="D111" s="119">
        <v>5000</v>
      </c>
      <c r="E111" s="119"/>
      <c r="F111" s="119">
        <v>5000</v>
      </c>
      <c r="G111" s="119">
        <v>5000</v>
      </c>
      <c r="H111" s="51"/>
      <c r="I111" s="149">
        <f>G111/F111</f>
        <v>1</v>
      </c>
      <c r="J111" s="150">
        <f>G111/G$394</f>
        <v>0.00018003100421942265</v>
      </c>
    </row>
    <row r="112" spans="1:10" ht="12.75">
      <c r="A112" s="155">
        <f t="shared" si="0"/>
        <v>56</v>
      </c>
      <c r="B112" s="46" t="s">
        <v>134</v>
      </c>
      <c r="C112" s="44" t="s">
        <v>52</v>
      </c>
      <c r="D112" s="118"/>
      <c r="E112" s="118"/>
      <c r="F112" s="118"/>
      <c r="G112" s="118"/>
      <c r="H112" s="27"/>
      <c r="I112" s="149"/>
      <c r="J112" s="150"/>
    </row>
    <row r="113" spans="1:10" ht="12.75">
      <c r="A113" s="155">
        <f t="shared" si="0"/>
        <v>57</v>
      </c>
      <c r="B113" s="58"/>
      <c r="C113" s="67" t="s">
        <v>113</v>
      </c>
      <c r="D113" s="118">
        <v>11000</v>
      </c>
      <c r="E113" s="118"/>
      <c r="F113" s="118">
        <v>13000</v>
      </c>
      <c r="G113" s="118">
        <v>13000</v>
      </c>
      <c r="H113" s="27">
        <f>13332+9083+32724+35748+7785</f>
        <v>98672</v>
      </c>
      <c r="I113" s="149">
        <f>G113/F113</f>
        <v>1</v>
      </c>
      <c r="J113" s="150">
        <f>G113/G$394</f>
        <v>0.0004680806109704989</v>
      </c>
    </row>
    <row r="114" spans="1:10" s="41" customFormat="1" ht="12.75">
      <c r="A114" s="155">
        <f t="shared" si="0"/>
        <v>58</v>
      </c>
      <c r="B114" s="42">
        <v>70095</v>
      </c>
      <c r="C114" s="39" t="s">
        <v>8</v>
      </c>
      <c r="D114" s="114">
        <f>D115+D120</f>
        <v>733742</v>
      </c>
      <c r="E114" s="114"/>
      <c r="F114" s="114">
        <f>F115+F120</f>
        <v>475204</v>
      </c>
      <c r="G114" s="114">
        <f>G115+G120</f>
        <v>665000</v>
      </c>
      <c r="H114" s="40"/>
      <c r="I114" s="147">
        <f>G114/F114</f>
        <v>1.3993989949579548</v>
      </c>
      <c r="J114" s="148">
        <f>G114/G$394</f>
        <v>0.023944123561183212</v>
      </c>
    </row>
    <row r="115" spans="1:10" s="52" customFormat="1" ht="12.75">
      <c r="A115" s="155">
        <f t="shared" si="0"/>
        <v>59</v>
      </c>
      <c r="B115" s="46" t="s">
        <v>141</v>
      </c>
      <c r="C115" s="45" t="s">
        <v>223</v>
      </c>
      <c r="D115" s="119">
        <f>SUM(D117:D119)</f>
        <v>731642</v>
      </c>
      <c r="E115" s="119"/>
      <c r="F115" s="119">
        <f>SUM(F117:F119)</f>
        <v>473096</v>
      </c>
      <c r="G115" s="119">
        <f>SUM(G117:G119)</f>
        <v>665000</v>
      </c>
      <c r="H115" s="51"/>
      <c r="I115" s="149">
        <f>G115/F115</f>
        <v>1.4056343744187225</v>
      </c>
      <c r="J115" s="150">
        <f>G115/G$394</f>
        <v>0.023944123561183212</v>
      </c>
    </row>
    <row r="116" spans="1:10" s="52" customFormat="1" ht="12.75">
      <c r="A116" s="155">
        <f t="shared" si="0"/>
        <v>60</v>
      </c>
      <c r="B116" s="46"/>
      <c r="C116" s="45" t="s">
        <v>9</v>
      </c>
      <c r="D116" s="119"/>
      <c r="E116" s="119"/>
      <c r="F116" s="119"/>
      <c r="G116" s="119"/>
      <c r="H116" s="51"/>
      <c r="I116" s="149"/>
      <c r="J116" s="150"/>
    </row>
    <row r="117" spans="1:10" s="52" customFormat="1" ht="12.75">
      <c r="A117" s="155">
        <f t="shared" si="0"/>
        <v>61</v>
      </c>
      <c r="B117" s="53"/>
      <c r="C117" s="45" t="s">
        <v>222</v>
      </c>
      <c r="D117" s="119">
        <v>522000</v>
      </c>
      <c r="E117" s="119"/>
      <c r="F117" s="119">
        <f>303096+120000</f>
        <v>423096</v>
      </c>
      <c r="G117" s="119">
        <v>565000</v>
      </c>
      <c r="H117" s="51"/>
      <c r="I117" s="149">
        <f>G117/F117</f>
        <v>1.3353943313101517</v>
      </c>
      <c r="J117" s="150">
        <f>G117/G$394</f>
        <v>0.02034350347679476</v>
      </c>
    </row>
    <row r="118" spans="1:10" s="52" customFormat="1" ht="12.75">
      <c r="A118" s="155">
        <f t="shared" si="0"/>
        <v>62</v>
      </c>
      <c r="B118" s="53"/>
      <c r="C118" s="45" t="s">
        <v>222</v>
      </c>
      <c r="D118" s="119"/>
      <c r="E118" s="119"/>
      <c r="F118" s="119"/>
      <c r="G118" s="119"/>
      <c r="H118" s="51"/>
      <c r="I118" s="149"/>
      <c r="J118" s="150"/>
    </row>
    <row r="119" spans="1:10" s="52" customFormat="1" ht="12.75">
      <c r="A119" s="155">
        <f t="shared" si="0"/>
        <v>63</v>
      </c>
      <c r="B119" s="53"/>
      <c r="C119" s="45" t="s">
        <v>234</v>
      </c>
      <c r="D119" s="119">
        <v>209642</v>
      </c>
      <c r="E119" s="119"/>
      <c r="F119" s="119">
        <v>50000</v>
      </c>
      <c r="G119" s="119">
        <v>100000</v>
      </c>
      <c r="H119" s="51"/>
      <c r="I119" s="149">
        <f>G119/F119</f>
        <v>2</v>
      </c>
      <c r="J119" s="150">
        <f>G119/G$394</f>
        <v>0.003600620084388453</v>
      </c>
    </row>
    <row r="120" spans="1:10" s="52" customFormat="1" ht="12.75">
      <c r="A120" s="155">
        <f t="shared" si="0"/>
        <v>64</v>
      </c>
      <c r="B120" s="46" t="s">
        <v>134</v>
      </c>
      <c r="C120" s="44" t="s">
        <v>197</v>
      </c>
      <c r="D120" s="119">
        <v>2100</v>
      </c>
      <c r="E120" s="119"/>
      <c r="F120" s="119">
        <v>2108</v>
      </c>
      <c r="G120" s="119">
        <v>0</v>
      </c>
      <c r="H120" s="51"/>
      <c r="I120" s="149"/>
      <c r="J120" s="150">
        <f>G120/G$394</f>
        <v>0</v>
      </c>
    </row>
    <row r="121" spans="1:10" s="37" customFormat="1" ht="15">
      <c r="A121" s="155">
        <f t="shared" si="0"/>
        <v>65</v>
      </c>
      <c r="B121" s="38">
        <v>710</v>
      </c>
      <c r="C121" s="35" t="s">
        <v>95</v>
      </c>
      <c r="D121" s="109">
        <f>D122+D125+D129</f>
        <v>89600</v>
      </c>
      <c r="E121" s="109" t="e">
        <f>E135+#REF!</f>
        <v>#REF!</v>
      </c>
      <c r="F121" s="109">
        <f>F122+F125+F129</f>
        <v>90023</v>
      </c>
      <c r="G121" s="109">
        <f>G122+G125+G129</f>
        <v>28000</v>
      </c>
      <c r="H121" s="36">
        <f>H135</f>
        <v>62000</v>
      </c>
      <c r="I121" s="137">
        <f>G121/F121</f>
        <v>0.31103162525132466</v>
      </c>
      <c r="J121" s="138">
        <f>G121/G$394</f>
        <v>0.001008173623628767</v>
      </c>
    </row>
    <row r="122" spans="1:10" s="41" customFormat="1" ht="12.75">
      <c r="A122" s="155">
        <f t="shared" si="0"/>
        <v>66</v>
      </c>
      <c r="B122" s="42">
        <v>71004</v>
      </c>
      <c r="C122" s="54" t="s">
        <v>163</v>
      </c>
      <c r="D122" s="114">
        <f>SUM(D123:D124)</f>
        <v>0</v>
      </c>
      <c r="E122" s="114"/>
      <c r="F122" s="114">
        <f>SUM(F123:F124)</f>
        <v>0</v>
      </c>
      <c r="G122" s="114">
        <f>SUM(G123:G124)</f>
        <v>0</v>
      </c>
      <c r="H122" s="40"/>
      <c r="I122" s="147"/>
      <c r="J122" s="148"/>
    </row>
    <row r="123" spans="1:10" s="52" customFormat="1" ht="12.75">
      <c r="A123" s="155">
        <f t="shared" si="0"/>
        <v>67</v>
      </c>
      <c r="B123" s="46" t="s">
        <v>131</v>
      </c>
      <c r="C123" s="45" t="s">
        <v>164</v>
      </c>
      <c r="D123" s="119">
        <v>0</v>
      </c>
      <c r="E123" s="119"/>
      <c r="F123" s="119">
        <v>0</v>
      </c>
      <c r="G123" s="119">
        <v>0</v>
      </c>
      <c r="H123" s="51"/>
      <c r="I123" s="149"/>
      <c r="J123" s="150"/>
    </row>
    <row r="124" spans="1:10" s="52" customFormat="1" ht="12.75">
      <c r="A124" s="155">
        <f t="shared" si="0"/>
        <v>68</v>
      </c>
      <c r="B124" s="46" t="s">
        <v>134</v>
      </c>
      <c r="C124" s="44" t="s">
        <v>197</v>
      </c>
      <c r="D124" s="119">
        <v>0</v>
      </c>
      <c r="E124" s="119"/>
      <c r="F124" s="119">
        <v>0</v>
      </c>
      <c r="G124" s="119">
        <v>0</v>
      </c>
      <c r="H124" s="51"/>
      <c r="I124" s="149"/>
      <c r="J124" s="150"/>
    </row>
    <row r="125" spans="1:10" s="41" customFormat="1" ht="12.75">
      <c r="A125" s="155">
        <f t="shared" si="0"/>
        <v>69</v>
      </c>
      <c r="B125" s="42">
        <v>71014</v>
      </c>
      <c r="C125" s="39" t="s">
        <v>115</v>
      </c>
      <c r="D125" s="114">
        <f>SUM(D126:D128)</f>
        <v>61600</v>
      </c>
      <c r="E125" s="114">
        <f>SUM(E128)</f>
        <v>0</v>
      </c>
      <c r="F125" s="114">
        <f>SUM(F126:F128)</f>
        <v>62023</v>
      </c>
      <c r="G125" s="114">
        <f>SUM(G126:G128)</f>
        <v>0</v>
      </c>
      <c r="H125" s="40"/>
      <c r="I125" s="147">
        <f>G125/F125</f>
        <v>0</v>
      </c>
      <c r="J125" s="148">
        <f>G125/G$394</f>
        <v>0</v>
      </c>
    </row>
    <row r="126" spans="1:10" s="41" customFormat="1" ht="12.75">
      <c r="A126" s="155">
        <f aca="true" t="shared" si="3" ref="A126:A190">A125+1</f>
        <v>70</v>
      </c>
      <c r="B126" s="46" t="s">
        <v>131</v>
      </c>
      <c r="C126" s="45" t="s">
        <v>165</v>
      </c>
      <c r="D126" s="119">
        <v>57900</v>
      </c>
      <c r="E126" s="119"/>
      <c r="F126" s="119">
        <v>57939</v>
      </c>
      <c r="G126" s="119">
        <v>0</v>
      </c>
      <c r="H126" s="40"/>
      <c r="I126" s="149">
        <f>G126/F126</f>
        <v>0</v>
      </c>
      <c r="J126" s="150">
        <f>G126/G$394</f>
        <v>0</v>
      </c>
    </row>
    <row r="127" spans="1:10" s="41" customFormat="1" ht="12.75">
      <c r="A127" s="155">
        <f t="shared" si="3"/>
        <v>71</v>
      </c>
      <c r="B127" s="43" t="s">
        <v>142</v>
      </c>
      <c r="C127" s="7" t="s">
        <v>67</v>
      </c>
      <c r="D127" s="119">
        <v>3300</v>
      </c>
      <c r="E127" s="119"/>
      <c r="F127" s="119">
        <v>3288</v>
      </c>
      <c r="G127" s="119">
        <v>0</v>
      </c>
      <c r="H127" s="40"/>
      <c r="I127" s="149"/>
      <c r="J127" s="150">
        <f>G127/G$394</f>
        <v>0</v>
      </c>
    </row>
    <row r="128" spans="1:10" s="52" customFormat="1" ht="12.75">
      <c r="A128" s="155">
        <f t="shared" si="3"/>
        <v>72</v>
      </c>
      <c r="B128" s="46" t="s">
        <v>134</v>
      </c>
      <c r="C128" s="44" t="s">
        <v>197</v>
      </c>
      <c r="D128" s="119">
        <v>400</v>
      </c>
      <c r="E128" s="119"/>
      <c r="F128" s="119">
        <v>796</v>
      </c>
      <c r="G128" s="119">
        <v>0</v>
      </c>
      <c r="H128" s="51"/>
      <c r="I128" s="149">
        <f>G128/F128</f>
        <v>0</v>
      </c>
      <c r="J128" s="150">
        <f>G128/G$394</f>
        <v>0</v>
      </c>
    </row>
    <row r="129" spans="1:10" s="41" customFormat="1" ht="12.75">
      <c r="A129" s="155">
        <f t="shared" si="3"/>
        <v>73</v>
      </c>
      <c r="B129" s="42">
        <v>71035</v>
      </c>
      <c r="C129" s="54" t="s">
        <v>224</v>
      </c>
      <c r="D129" s="114">
        <f>D133</f>
        <v>28000</v>
      </c>
      <c r="E129" s="114"/>
      <c r="F129" s="114">
        <f>F133</f>
        <v>28000</v>
      </c>
      <c r="G129" s="114">
        <f>G133</f>
        <v>28000</v>
      </c>
      <c r="H129" s="40"/>
      <c r="I129" s="147">
        <f>G129/F129</f>
        <v>1</v>
      </c>
      <c r="J129" s="148">
        <f>G129/G$394</f>
        <v>0.001008173623628767</v>
      </c>
    </row>
    <row r="130" spans="1:10" s="41" customFormat="1" ht="12.75">
      <c r="A130" s="155">
        <f t="shared" si="3"/>
        <v>74</v>
      </c>
      <c r="B130" s="53" t="s">
        <v>138</v>
      </c>
      <c r="C130" s="7" t="s">
        <v>55</v>
      </c>
      <c r="D130" s="119"/>
      <c r="E130" s="119"/>
      <c r="F130" s="119"/>
      <c r="G130" s="119"/>
      <c r="H130" s="51"/>
      <c r="I130" s="149"/>
      <c r="J130" s="150"/>
    </row>
    <row r="131" spans="1:10" s="41" customFormat="1" ht="12.75">
      <c r="A131" s="155">
        <f t="shared" si="3"/>
        <v>75</v>
      </c>
      <c r="B131" s="42"/>
      <c r="C131" s="44" t="s">
        <v>124</v>
      </c>
      <c r="D131" s="119"/>
      <c r="E131" s="119"/>
      <c r="F131" s="119"/>
      <c r="G131" s="119"/>
      <c r="H131" s="51"/>
      <c r="I131" s="149"/>
      <c r="J131" s="150"/>
    </row>
    <row r="132" spans="1:10" s="41" customFormat="1" ht="12.75">
      <c r="A132" s="155">
        <f t="shared" si="3"/>
        <v>76</v>
      </c>
      <c r="B132" s="42"/>
      <c r="C132" s="7" t="s">
        <v>125</v>
      </c>
      <c r="D132" s="119"/>
      <c r="E132" s="119"/>
      <c r="F132" s="119"/>
      <c r="G132" s="119"/>
      <c r="H132" s="51"/>
      <c r="I132" s="149"/>
      <c r="J132" s="150"/>
    </row>
    <row r="133" spans="1:10" s="52" customFormat="1" ht="12.75">
      <c r="A133" s="155">
        <f t="shared" si="3"/>
        <v>77</v>
      </c>
      <c r="B133" s="46"/>
      <c r="C133" s="7" t="s">
        <v>126</v>
      </c>
      <c r="D133" s="119">
        <v>28000</v>
      </c>
      <c r="E133" s="119"/>
      <c r="F133" s="119">
        <v>28000</v>
      </c>
      <c r="G133" s="119">
        <v>28000</v>
      </c>
      <c r="H133" s="51"/>
      <c r="I133" s="149">
        <f>G133/F133</f>
        <v>1</v>
      </c>
      <c r="J133" s="150">
        <f>G133/G$394</f>
        <v>0.001008173623628767</v>
      </c>
    </row>
    <row r="134" spans="1:10" s="37" customFormat="1" ht="15">
      <c r="A134" s="155">
        <f t="shared" si="3"/>
        <v>78</v>
      </c>
      <c r="B134" s="38">
        <v>750</v>
      </c>
      <c r="C134" s="35" t="s">
        <v>64</v>
      </c>
      <c r="D134" s="109">
        <f>D135+D143+D154</f>
        <v>308408</v>
      </c>
      <c r="E134" s="109" t="e">
        <f>E135+E143+#REF!+E154</f>
        <v>#REF!</v>
      </c>
      <c r="F134" s="109">
        <f>F135+F143+F154</f>
        <v>340444</v>
      </c>
      <c r="G134" s="109">
        <f>G135+G143+G154</f>
        <v>226760</v>
      </c>
      <c r="H134" s="36" t="e">
        <f>H135+H143+H154</f>
        <v>#REF!</v>
      </c>
      <c r="I134" s="147">
        <f>G134/F134</f>
        <v>0.6660713656284146</v>
      </c>
      <c r="J134" s="148">
        <f>G134/G$394</f>
        <v>0.008164766103359256</v>
      </c>
    </row>
    <row r="135" spans="1:10" s="3" customFormat="1" ht="12.75">
      <c r="A135" s="155">
        <f t="shared" si="3"/>
        <v>79</v>
      </c>
      <c r="B135" s="14">
        <v>75011</v>
      </c>
      <c r="C135" s="15" t="s">
        <v>26</v>
      </c>
      <c r="D135" s="117">
        <f>SUM(D139:D142)</f>
        <v>71100</v>
      </c>
      <c r="E135" s="117">
        <f>E139</f>
        <v>0</v>
      </c>
      <c r="F135" s="117">
        <f>SUM(F139:F142)</f>
        <v>70300</v>
      </c>
      <c r="G135" s="117">
        <f>SUM(G139:G142)</f>
        <v>70300</v>
      </c>
      <c r="H135" s="21">
        <f>H139</f>
        <v>62000</v>
      </c>
      <c r="I135" s="147">
        <f>G135/F135</f>
        <v>1</v>
      </c>
      <c r="J135" s="148">
        <f>G135/G$394</f>
        <v>0.0025312359193250824</v>
      </c>
    </row>
    <row r="136" spans="1:10" s="3" customFormat="1" ht="12.75">
      <c r="A136" s="155">
        <f t="shared" si="3"/>
        <v>80</v>
      </c>
      <c r="B136" s="43">
        <v>2010</v>
      </c>
      <c r="C136" s="7" t="s">
        <v>76</v>
      </c>
      <c r="D136" s="117"/>
      <c r="E136" s="117"/>
      <c r="F136" s="117"/>
      <c r="G136" s="117"/>
      <c r="H136" s="21"/>
      <c r="I136" s="149"/>
      <c r="J136" s="150"/>
    </row>
    <row r="137" spans="1:10" s="3" customFormat="1" ht="12.75">
      <c r="A137" s="155">
        <f t="shared" si="3"/>
        <v>81</v>
      </c>
      <c r="B137" s="43"/>
      <c r="C137" s="7" t="s">
        <v>159</v>
      </c>
      <c r="D137" s="117"/>
      <c r="E137" s="117"/>
      <c r="F137" s="117"/>
      <c r="G137" s="117"/>
      <c r="H137" s="21"/>
      <c r="I137" s="149"/>
      <c r="J137" s="150"/>
    </row>
    <row r="138" spans="1:10" s="3" customFormat="1" ht="12.75">
      <c r="A138" s="155">
        <f t="shared" si="3"/>
        <v>82</v>
      </c>
      <c r="B138" s="43"/>
      <c r="C138" s="7" t="s">
        <v>84</v>
      </c>
      <c r="D138" s="117"/>
      <c r="E138" s="117"/>
      <c r="F138" s="117"/>
      <c r="G138" s="117"/>
      <c r="H138" s="21"/>
      <c r="I138" s="149"/>
      <c r="J138" s="150"/>
    </row>
    <row r="139" spans="1:10" s="3" customFormat="1" ht="12.75">
      <c r="A139" s="155">
        <f t="shared" si="3"/>
        <v>83</v>
      </c>
      <c r="B139" s="43"/>
      <c r="C139" s="7" t="s">
        <v>77</v>
      </c>
      <c r="D139" s="119">
        <v>69000</v>
      </c>
      <c r="E139" s="118">
        <f>G139-D139</f>
        <v>0</v>
      </c>
      <c r="F139" s="118">
        <v>69000</v>
      </c>
      <c r="G139" s="119">
        <v>69000</v>
      </c>
      <c r="H139" s="51">
        <v>62000</v>
      </c>
      <c r="I139" s="149">
        <f>G139/F139</f>
        <v>1</v>
      </c>
      <c r="J139" s="150">
        <f>G139/G$394</f>
        <v>0.0024844278582280325</v>
      </c>
    </row>
    <row r="140" spans="1:10" s="3" customFormat="1" ht="12.75">
      <c r="A140" s="155">
        <f t="shared" si="3"/>
        <v>84</v>
      </c>
      <c r="B140" s="43">
        <v>2360</v>
      </c>
      <c r="C140" s="7" t="s">
        <v>198</v>
      </c>
      <c r="D140" s="119"/>
      <c r="E140" s="118"/>
      <c r="F140" s="118"/>
      <c r="G140" s="119"/>
      <c r="H140" s="51"/>
      <c r="I140" s="149"/>
      <c r="J140" s="150"/>
    </row>
    <row r="141" spans="1:10" s="3" customFormat="1" ht="12.75">
      <c r="A141" s="155">
        <f t="shared" si="3"/>
        <v>85</v>
      </c>
      <c r="B141" s="43"/>
      <c r="C141" s="44" t="s">
        <v>199</v>
      </c>
      <c r="D141" s="119"/>
      <c r="E141" s="118"/>
      <c r="F141" s="118"/>
      <c r="G141" s="119"/>
      <c r="H141" s="51"/>
      <c r="I141" s="149"/>
      <c r="J141" s="150"/>
    </row>
    <row r="142" spans="1:10" s="3" customFormat="1" ht="12.75">
      <c r="A142" s="155">
        <f t="shared" si="3"/>
        <v>86</v>
      </c>
      <c r="B142" s="43"/>
      <c r="C142" s="7" t="s">
        <v>200</v>
      </c>
      <c r="D142" s="119">
        <v>2100</v>
      </c>
      <c r="E142" s="118"/>
      <c r="F142" s="118">
        <v>1300</v>
      </c>
      <c r="G142" s="119">
        <v>1300</v>
      </c>
      <c r="H142" s="51"/>
      <c r="I142" s="149">
        <f>G142/F142</f>
        <v>1</v>
      </c>
      <c r="J142" s="150">
        <f>G142/G$394</f>
        <v>4.680806109704989E-05</v>
      </c>
    </row>
    <row r="143" spans="1:10" s="3" customFormat="1" ht="12.75">
      <c r="A143" s="155">
        <f t="shared" si="3"/>
        <v>87</v>
      </c>
      <c r="B143" s="14">
        <v>75023</v>
      </c>
      <c r="C143" s="15" t="s">
        <v>43</v>
      </c>
      <c r="D143" s="117">
        <f>D145+D146+D147</f>
        <v>31946</v>
      </c>
      <c r="E143" s="117" t="e">
        <f>#REF!+#REF!+E147</f>
        <v>#REF!</v>
      </c>
      <c r="F143" s="117">
        <f>F145+F146+F147</f>
        <v>35524</v>
      </c>
      <c r="G143" s="117">
        <f>G145+G146+G147</f>
        <v>22860</v>
      </c>
      <c r="H143" s="21" t="e">
        <f>#REF!+#REF!+H147</f>
        <v>#REF!</v>
      </c>
      <c r="I143" s="147">
        <f>G143/F143</f>
        <v>0.6435086138948317</v>
      </c>
      <c r="J143" s="148">
        <f>G143/G$394</f>
        <v>0.0008231017512912004</v>
      </c>
    </row>
    <row r="144" spans="1:10" ht="12.75">
      <c r="A144" s="155">
        <f t="shared" si="3"/>
        <v>88</v>
      </c>
      <c r="B144" s="43" t="s">
        <v>141</v>
      </c>
      <c r="C144" s="7" t="s">
        <v>212</v>
      </c>
      <c r="D144" s="118"/>
      <c r="E144" s="118"/>
      <c r="F144" s="118"/>
      <c r="G144" s="118"/>
      <c r="H144" s="27"/>
      <c r="I144" s="149"/>
      <c r="J144" s="150"/>
    </row>
    <row r="145" spans="1:10" ht="12.75">
      <c r="A145" s="155">
        <f t="shared" si="3"/>
        <v>89</v>
      </c>
      <c r="B145" s="43"/>
      <c r="C145" s="7" t="s">
        <v>213</v>
      </c>
      <c r="D145" s="118">
        <v>60</v>
      </c>
      <c r="E145" s="118"/>
      <c r="F145" s="118">
        <v>60</v>
      </c>
      <c r="G145" s="118">
        <v>60</v>
      </c>
      <c r="H145" s="27"/>
      <c r="I145" s="149">
        <f>G145/F145</f>
        <v>1</v>
      </c>
      <c r="J145" s="150">
        <f>G145/G$394</f>
        <v>2.1603720506330717E-06</v>
      </c>
    </row>
    <row r="146" spans="1:10" ht="12.75">
      <c r="A146" s="155">
        <f t="shared" si="3"/>
        <v>90</v>
      </c>
      <c r="B146" s="43" t="s">
        <v>142</v>
      </c>
      <c r="C146" s="7" t="s">
        <v>67</v>
      </c>
      <c r="D146" s="118">
        <v>386</v>
      </c>
      <c r="E146" s="118"/>
      <c r="F146" s="118">
        <v>441</v>
      </c>
      <c r="G146" s="118">
        <v>100</v>
      </c>
      <c r="H146" s="27"/>
      <c r="I146" s="149">
        <f>G146/F146</f>
        <v>0.22675736961451248</v>
      </c>
      <c r="J146" s="150">
        <f>G146/G$394</f>
        <v>3.600620084388453E-06</v>
      </c>
    </row>
    <row r="147" spans="1:10" ht="12.75">
      <c r="A147" s="155">
        <f t="shared" si="3"/>
        <v>91</v>
      </c>
      <c r="B147" s="43" t="s">
        <v>134</v>
      </c>
      <c r="C147" s="7" t="s">
        <v>52</v>
      </c>
      <c r="D147" s="118">
        <f>SUM(D149:D153)</f>
        <v>31500</v>
      </c>
      <c r="E147" s="118">
        <f>SUM(E149:E152)</f>
        <v>-8800</v>
      </c>
      <c r="F147" s="118">
        <f>SUM(F149:F153)</f>
        <v>35023</v>
      </c>
      <c r="G147" s="118">
        <f>SUM(G149:G153)</f>
        <v>22700</v>
      </c>
      <c r="H147" s="27">
        <f>SUM(H149:H152)</f>
        <v>6910</v>
      </c>
      <c r="I147" s="149">
        <f>G147/F147</f>
        <v>0.6481455043828341</v>
      </c>
      <c r="J147" s="150">
        <f>G147/G$394</f>
        <v>0.0008173407591561788</v>
      </c>
    </row>
    <row r="148" spans="1:10" ht="12.75">
      <c r="A148" s="155">
        <f t="shared" si="3"/>
        <v>92</v>
      </c>
      <c r="B148" s="43"/>
      <c r="C148" s="7" t="s">
        <v>9</v>
      </c>
      <c r="D148" s="118"/>
      <c r="E148" s="118"/>
      <c r="F148" s="118"/>
      <c r="G148" s="118"/>
      <c r="H148" s="27"/>
      <c r="I148" s="149"/>
      <c r="J148" s="150"/>
    </row>
    <row r="149" spans="1:10" ht="12.75">
      <c r="A149" s="155">
        <f t="shared" si="3"/>
        <v>93</v>
      </c>
      <c r="B149" s="43"/>
      <c r="C149" s="7" t="s">
        <v>65</v>
      </c>
      <c r="D149" s="118">
        <v>700</v>
      </c>
      <c r="E149" s="118">
        <f>G149-D149</f>
        <v>0</v>
      </c>
      <c r="F149" s="118">
        <v>700</v>
      </c>
      <c r="G149" s="118">
        <v>700</v>
      </c>
      <c r="H149" s="27">
        <v>710</v>
      </c>
      <c r="I149" s="149">
        <f aca="true" t="shared" si="4" ref="I149:I154">G149/F149</f>
        <v>1</v>
      </c>
      <c r="J149" s="150">
        <f aca="true" t="shared" si="5" ref="J149:J155">G149/G$394</f>
        <v>2.5204340590719173E-05</v>
      </c>
    </row>
    <row r="150" spans="1:10" ht="12.75">
      <c r="A150" s="155">
        <f t="shared" si="3"/>
        <v>94</v>
      </c>
      <c r="B150" s="43"/>
      <c r="C150" s="7" t="s">
        <v>201</v>
      </c>
      <c r="D150" s="118">
        <v>0</v>
      </c>
      <c r="E150" s="118">
        <f>G150-D150</f>
        <v>0</v>
      </c>
      <c r="F150" s="118">
        <v>2721</v>
      </c>
      <c r="G150" s="118">
        <v>0</v>
      </c>
      <c r="H150" s="27">
        <v>1000</v>
      </c>
      <c r="I150" s="149">
        <f t="shared" si="4"/>
        <v>0</v>
      </c>
      <c r="J150" s="150">
        <f t="shared" si="5"/>
        <v>0</v>
      </c>
    </row>
    <row r="151" spans="1:10" ht="12.75">
      <c r="A151" s="155">
        <f t="shared" si="3"/>
        <v>95</v>
      </c>
      <c r="B151" s="43"/>
      <c r="C151" s="7" t="s">
        <v>96</v>
      </c>
      <c r="D151" s="118">
        <v>8800</v>
      </c>
      <c r="E151" s="118">
        <f>G151-D151</f>
        <v>-6800</v>
      </c>
      <c r="F151" s="118">
        <v>7102</v>
      </c>
      <c r="G151" s="118">
        <v>2000</v>
      </c>
      <c r="H151" s="27">
        <v>4200</v>
      </c>
      <c r="I151" s="149">
        <f t="shared" si="4"/>
        <v>0.28161081385525205</v>
      </c>
      <c r="J151" s="150">
        <f t="shared" si="5"/>
        <v>7.201240168776907E-05</v>
      </c>
    </row>
    <row r="152" spans="1:10" ht="12.75">
      <c r="A152" s="155">
        <f t="shared" si="3"/>
        <v>96</v>
      </c>
      <c r="B152" s="43"/>
      <c r="C152" s="7" t="s">
        <v>97</v>
      </c>
      <c r="D152" s="118">
        <v>2000</v>
      </c>
      <c r="E152" s="118">
        <f>G152-D152</f>
        <v>-2000</v>
      </c>
      <c r="F152" s="118">
        <v>1500</v>
      </c>
      <c r="G152" s="118">
        <v>0</v>
      </c>
      <c r="H152" s="27">
        <v>1000</v>
      </c>
      <c r="I152" s="149">
        <f t="shared" si="4"/>
        <v>0</v>
      </c>
      <c r="J152" s="150">
        <f t="shared" si="5"/>
        <v>0</v>
      </c>
    </row>
    <row r="153" spans="1:10" ht="12.75">
      <c r="A153" s="155">
        <f t="shared" si="3"/>
        <v>97</v>
      </c>
      <c r="B153" s="43"/>
      <c r="C153" s="7" t="s">
        <v>120</v>
      </c>
      <c r="D153" s="118">
        <v>20000</v>
      </c>
      <c r="E153" s="118"/>
      <c r="F153" s="118">
        <v>23000</v>
      </c>
      <c r="G153" s="118">
        <v>20000</v>
      </c>
      <c r="H153" s="27"/>
      <c r="I153" s="149">
        <f t="shared" si="4"/>
        <v>0.8695652173913043</v>
      </c>
      <c r="J153" s="150">
        <f t="shared" si="5"/>
        <v>0.0007201240168776906</v>
      </c>
    </row>
    <row r="154" spans="1:10" s="3" customFormat="1" ht="12.75">
      <c r="A154" s="155">
        <f t="shared" si="3"/>
        <v>98</v>
      </c>
      <c r="B154" s="14">
        <v>75095</v>
      </c>
      <c r="C154" s="15" t="s">
        <v>8</v>
      </c>
      <c r="D154" s="117">
        <f>D155+D158+D160+D161</f>
        <v>205362</v>
      </c>
      <c r="E154" s="117" t="e">
        <f>#REF!+E155+#REF!+E160</f>
        <v>#REF!</v>
      </c>
      <c r="F154" s="117">
        <f>F155+F158+F160+F161</f>
        <v>234620</v>
      </c>
      <c r="G154" s="117">
        <f>G155+G158+G160+G161</f>
        <v>133600</v>
      </c>
      <c r="H154" s="21" t="e">
        <f>#REF!+H155+#REF!+H160</f>
        <v>#REF!</v>
      </c>
      <c r="I154" s="147">
        <f t="shared" si="4"/>
        <v>0.5694314210212258</v>
      </c>
      <c r="J154" s="148">
        <f t="shared" si="5"/>
        <v>0.004810428432742974</v>
      </c>
    </row>
    <row r="155" spans="1:10" s="6" customFormat="1" ht="12.75">
      <c r="A155" s="155">
        <f t="shared" si="3"/>
        <v>99</v>
      </c>
      <c r="B155" s="19" t="s">
        <v>131</v>
      </c>
      <c r="C155" s="11" t="s">
        <v>56</v>
      </c>
      <c r="D155" s="120">
        <f>SUM(D157:D157)</f>
        <v>2100</v>
      </c>
      <c r="E155" s="120">
        <f>SUM(E157:E157)</f>
        <v>-1600</v>
      </c>
      <c r="F155" s="120">
        <f>SUM(F157:F157)</f>
        <v>980</v>
      </c>
      <c r="G155" s="120">
        <f>SUM(G157:G157)</f>
        <v>500</v>
      </c>
      <c r="H155" s="32">
        <f>SUM(H157:H157)</f>
        <v>0</v>
      </c>
      <c r="I155" s="149">
        <f>G155/F155</f>
        <v>0.5102040816326531</v>
      </c>
      <c r="J155" s="150">
        <f t="shared" si="5"/>
        <v>1.8003100421942267E-05</v>
      </c>
    </row>
    <row r="156" spans="1:10" s="6" customFormat="1" ht="12.75">
      <c r="A156" s="155">
        <f t="shared" si="3"/>
        <v>100</v>
      </c>
      <c r="B156" s="19"/>
      <c r="C156" s="11" t="s">
        <v>9</v>
      </c>
      <c r="D156" s="120"/>
      <c r="E156" s="120"/>
      <c r="F156" s="120"/>
      <c r="G156" s="120"/>
      <c r="H156" s="32"/>
      <c r="I156" s="149"/>
      <c r="J156" s="150"/>
    </row>
    <row r="157" spans="1:10" s="6" customFormat="1" ht="12.75">
      <c r="A157" s="155">
        <f t="shared" si="3"/>
        <v>101</v>
      </c>
      <c r="B157" s="19"/>
      <c r="C157" s="11" t="s">
        <v>202</v>
      </c>
      <c r="D157" s="120">
        <v>2100</v>
      </c>
      <c r="E157" s="118">
        <f>G157-D157</f>
        <v>-1600</v>
      </c>
      <c r="F157" s="118">
        <v>980</v>
      </c>
      <c r="G157" s="120">
        <v>500</v>
      </c>
      <c r="H157" s="32">
        <v>0</v>
      </c>
      <c r="I157" s="149">
        <f>G157/F157</f>
        <v>0.5102040816326531</v>
      </c>
      <c r="J157" s="150">
        <f>G157/G$394</f>
        <v>1.8003100421942267E-05</v>
      </c>
    </row>
    <row r="158" spans="1:10" s="6" customFormat="1" ht="12.75">
      <c r="A158" s="155">
        <f t="shared" si="3"/>
        <v>102</v>
      </c>
      <c r="B158" s="19" t="s">
        <v>141</v>
      </c>
      <c r="C158" s="24" t="s">
        <v>235</v>
      </c>
      <c r="D158" s="120">
        <v>35500</v>
      </c>
      <c r="E158" s="118"/>
      <c r="F158" s="118">
        <f>35500-2500</f>
        <v>33000</v>
      </c>
      <c r="G158" s="120">
        <v>33000</v>
      </c>
      <c r="H158" s="32"/>
      <c r="I158" s="149">
        <f>G158/F158</f>
        <v>1</v>
      </c>
      <c r="J158" s="150">
        <f>G158/G$394</f>
        <v>0.0011882046278481895</v>
      </c>
    </row>
    <row r="159" spans="1:10" ht="12.75">
      <c r="A159" s="155">
        <f t="shared" si="3"/>
        <v>103</v>
      </c>
      <c r="B159" s="43" t="s">
        <v>142</v>
      </c>
      <c r="C159" s="7" t="s">
        <v>90</v>
      </c>
      <c r="D159" s="118"/>
      <c r="E159" s="118"/>
      <c r="F159" s="118"/>
      <c r="G159" s="118"/>
      <c r="H159" s="27"/>
      <c r="I159" s="149"/>
      <c r="J159" s="150"/>
    </row>
    <row r="160" spans="1:10" ht="12.75">
      <c r="A160" s="155">
        <f t="shared" si="3"/>
        <v>104</v>
      </c>
      <c r="B160" s="7"/>
      <c r="C160" s="7" t="s">
        <v>106</v>
      </c>
      <c r="D160" s="118">
        <v>167122</v>
      </c>
      <c r="E160" s="118">
        <f>G160-D160</f>
        <v>-67122</v>
      </c>
      <c r="F160" s="118">
        <v>200000</v>
      </c>
      <c r="G160" s="118">
        <v>100000</v>
      </c>
      <c r="H160" s="27">
        <v>1000</v>
      </c>
      <c r="I160" s="149">
        <f>G160/F160</f>
        <v>0.5</v>
      </c>
      <c r="J160" s="150">
        <f>G160/G$394</f>
        <v>0.003600620084388453</v>
      </c>
    </row>
    <row r="161" spans="1:10" ht="12.75">
      <c r="A161" s="155">
        <f t="shared" si="3"/>
        <v>105</v>
      </c>
      <c r="B161" s="43" t="s">
        <v>134</v>
      </c>
      <c r="C161" s="7" t="s">
        <v>52</v>
      </c>
      <c r="D161" s="118">
        <v>640</v>
      </c>
      <c r="E161" s="118"/>
      <c r="F161" s="118">
        <v>640</v>
      </c>
      <c r="G161" s="118">
        <v>100</v>
      </c>
      <c r="H161" s="27"/>
      <c r="I161" s="149">
        <f>G161/F161</f>
        <v>0.15625</v>
      </c>
      <c r="J161" s="150">
        <f>G161/G$394</f>
        <v>3.600620084388453E-06</v>
      </c>
    </row>
    <row r="162" spans="1:10" ht="12.75">
      <c r="A162" s="155"/>
      <c r="B162" s="43"/>
      <c r="C162" s="7"/>
      <c r="D162" s="118"/>
      <c r="E162" s="118"/>
      <c r="F162" s="118"/>
      <c r="G162" s="118"/>
      <c r="H162" s="27"/>
      <c r="I162" s="149"/>
      <c r="J162" s="150"/>
    </row>
    <row r="163" spans="1:10" s="4" customFormat="1" ht="15">
      <c r="A163" s="155">
        <f>A161+1</f>
        <v>106</v>
      </c>
      <c r="B163" s="12">
        <v>751</v>
      </c>
      <c r="C163" s="34" t="s">
        <v>47</v>
      </c>
      <c r="D163" s="113"/>
      <c r="E163" s="113"/>
      <c r="F163" s="113"/>
      <c r="G163" s="113"/>
      <c r="H163" s="20"/>
      <c r="I163" s="149"/>
      <c r="J163" s="150"/>
    </row>
    <row r="164" spans="1:10" s="4" customFormat="1" ht="15">
      <c r="A164" s="155">
        <f t="shared" si="3"/>
        <v>107</v>
      </c>
      <c r="B164" s="12"/>
      <c r="C164" s="34" t="s">
        <v>48</v>
      </c>
      <c r="D164" s="113"/>
      <c r="E164" s="113"/>
      <c r="F164" s="113"/>
      <c r="G164" s="113"/>
      <c r="H164" s="20"/>
      <c r="I164" s="149"/>
      <c r="J164" s="150"/>
    </row>
    <row r="165" spans="1:10" s="4" customFormat="1" ht="15">
      <c r="A165" s="155">
        <f t="shared" si="3"/>
        <v>108</v>
      </c>
      <c r="B165" s="12"/>
      <c r="C165" s="34" t="s">
        <v>49</v>
      </c>
      <c r="D165" s="113">
        <f>D167+D173</f>
        <v>24984</v>
      </c>
      <c r="E165" s="113" t="e">
        <f>E167+#REF!+#REF!</f>
        <v>#REF!</v>
      </c>
      <c r="F165" s="113">
        <f>F167+F173</f>
        <v>24984</v>
      </c>
      <c r="G165" s="113">
        <f>G167+G173</f>
        <v>1104</v>
      </c>
      <c r="H165" s="20" t="e">
        <f>H167+#REF!+#REF!+#REF!</f>
        <v>#REF!</v>
      </c>
      <c r="I165" s="137">
        <f>G165/F165</f>
        <v>0.04418828049951969</v>
      </c>
      <c r="J165" s="138">
        <f>G165/G$394</f>
        <v>3.975084573164852E-05</v>
      </c>
    </row>
    <row r="166" spans="1:10" s="3" customFormat="1" ht="12.75">
      <c r="A166" s="155">
        <f t="shared" si="3"/>
        <v>109</v>
      </c>
      <c r="B166" s="14">
        <v>75101</v>
      </c>
      <c r="C166" s="15" t="s">
        <v>50</v>
      </c>
      <c r="D166" s="117"/>
      <c r="E166" s="117"/>
      <c r="F166" s="117"/>
      <c r="G166" s="117"/>
      <c r="H166" s="21"/>
      <c r="I166" s="137"/>
      <c r="J166" s="138"/>
    </row>
    <row r="167" spans="1:10" s="3" customFormat="1" ht="12.75">
      <c r="A167" s="155">
        <f t="shared" si="3"/>
        <v>110</v>
      </c>
      <c r="B167" s="14"/>
      <c r="C167" s="15" t="s">
        <v>51</v>
      </c>
      <c r="D167" s="117">
        <f>D171</f>
        <v>1104</v>
      </c>
      <c r="E167" s="117">
        <f>E171</f>
        <v>0</v>
      </c>
      <c r="F167" s="117">
        <f>F171</f>
        <v>1104</v>
      </c>
      <c r="G167" s="117">
        <f>G171</f>
        <v>1104</v>
      </c>
      <c r="H167" s="21">
        <f>H171</f>
        <v>1020</v>
      </c>
      <c r="I167" s="147">
        <f>G167/F167</f>
        <v>1</v>
      </c>
      <c r="J167" s="148">
        <f>G167/G$394</f>
        <v>3.975084573164852E-05</v>
      </c>
    </row>
    <row r="168" spans="1:10" ht="12.75">
      <c r="A168" s="155">
        <f t="shared" si="3"/>
        <v>111</v>
      </c>
      <c r="B168" s="43">
        <v>2010</v>
      </c>
      <c r="C168" s="7" t="s">
        <v>76</v>
      </c>
      <c r="D168" s="118"/>
      <c r="E168" s="118"/>
      <c r="F168" s="118"/>
      <c r="G168" s="118"/>
      <c r="H168" s="27"/>
      <c r="I168" s="149"/>
      <c r="J168" s="150"/>
    </row>
    <row r="169" spans="1:10" ht="12.75">
      <c r="A169" s="155">
        <f t="shared" si="3"/>
        <v>112</v>
      </c>
      <c r="B169" s="43"/>
      <c r="C169" s="7" t="s">
        <v>159</v>
      </c>
      <c r="D169" s="118"/>
      <c r="E169" s="118"/>
      <c r="F169" s="118"/>
      <c r="G169" s="118"/>
      <c r="H169" s="27"/>
      <c r="I169" s="149"/>
      <c r="J169" s="150"/>
    </row>
    <row r="170" spans="1:10" ht="12.75">
      <c r="A170" s="155">
        <f t="shared" si="3"/>
        <v>113</v>
      </c>
      <c r="B170" s="43"/>
      <c r="C170" s="7" t="s">
        <v>84</v>
      </c>
      <c r="D170" s="118"/>
      <c r="E170" s="118"/>
      <c r="F170" s="118"/>
      <c r="G170" s="118"/>
      <c r="H170" s="27"/>
      <c r="I170" s="149"/>
      <c r="J170" s="150"/>
    </row>
    <row r="171" spans="1:10" ht="12.75">
      <c r="A171" s="155">
        <f t="shared" si="3"/>
        <v>114</v>
      </c>
      <c r="B171" s="43"/>
      <c r="C171" s="7" t="s">
        <v>77</v>
      </c>
      <c r="D171" s="118">
        <v>1104</v>
      </c>
      <c r="E171" s="118">
        <f>G171-D171</f>
        <v>0</v>
      </c>
      <c r="F171" s="118">
        <v>1104</v>
      </c>
      <c r="G171" s="118">
        <v>1104</v>
      </c>
      <c r="H171" s="27">
        <v>1020</v>
      </c>
      <c r="I171" s="149">
        <f>G171/F171</f>
        <v>1</v>
      </c>
      <c r="J171" s="150">
        <f>G171/G$394</f>
        <v>3.975084573164852E-05</v>
      </c>
    </row>
    <row r="172" spans="1:10" s="41" customFormat="1" ht="12.75">
      <c r="A172" s="155">
        <f t="shared" si="3"/>
        <v>115</v>
      </c>
      <c r="B172" s="42">
        <v>75109</v>
      </c>
      <c r="C172" s="54" t="s">
        <v>204</v>
      </c>
      <c r="D172" s="114"/>
      <c r="E172" s="114"/>
      <c r="F172" s="114"/>
      <c r="G172" s="114"/>
      <c r="H172" s="40"/>
      <c r="I172" s="147"/>
      <c r="J172" s="148"/>
    </row>
    <row r="173" spans="1:10" ht="12.75">
      <c r="A173" s="155">
        <f t="shared" si="3"/>
        <v>116</v>
      </c>
      <c r="B173" s="43"/>
      <c r="C173" s="39" t="s">
        <v>203</v>
      </c>
      <c r="D173" s="114">
        <f>D177</f>
        <v>23880</v>
      </c>
      <c r="E173" s="114"/>
      <c r="F173" s="114">
        <f>F177</f>
        <v>23880</v>
      </c>
      <c r="G173" s="114">
        <f>G177</f>
        <v>0</v>
      </c>
      <c r="H173" s="40"/>
      <c r="I173" s="147"/>
      <c r="J173" s="138">
        <f>G173/G$394</f>
        <v>0</v>
      </c>
    </row>
    <row r="174" spans="1:10" ht="12.75">
      <c r="A174" s="155">
        <f t="shared" si="3"/>
        <v>117</v>
      </c>
      <c r="B174" s="43">
        <v>2010</v>
      </c>
      <c r="C174" s="7" t="s">
        <v>76</v>
      </c>
      <c r="D174" s="118"/>
      <c r="E174" s="118"/>
      <c r="F174" s="118"/>
      <c r="G174" s="118"/>
      <c r="H174" s="27"/>
      <c r="I174" s="149"/>
      <c r="J174" s="150"/>
    </row>
    <row r="175" spans="1:10" ht="12.75">
      <c r="A175" s="155">
        <f t="shared" si="3"/>
        <v>118</v>
      </c>
      <c r="B175" s="43"/>
      <c r="C175" s="7" t="s">
        <v>83</v>
      </c>
      <c r="D175" s="118"/>
      <c r="E175" s="118"/>
      <c r="F175" s="118"/>
      <c r="G175" s="118"/>
      <c r="H175" s="27"/>
      <c r="I175" s="149"/>
      <c r="J175" s="150"/>
    </row>
    <row r="176" spans="1:10" ht="12.75">
      <c r="A176" s="155">
        <f t="shared" si="3"/>
        <v>119</v>
      </c>
      <c r="B176" s="43"/>
      <c r="C176" s="7" t="s">
        <v>84</v>
      </c>
      <c r="D176" s="118"/>
      <c r="E176" s="118"/>
      <c r="F176" s="118"/>
      <c r="G176" s="118"/>
      <c r="H176" s="27"/>
      <c r="I176" s="149"/>
      <c r="J176" s="150"/>
    </row>
    <row r="177" spans="1:10" ht="12.75">
      <c r="A177" s="155">
        <f t="shared" si="3"/>
        <v>120</v>
      </c>
      <c r="B177" s="43"/>
      <c r="C177" s="7" t="s">
        <v>77</v>
      </c>
      <c r="D177" s="118">
        <v>23880</v>
      </c>
      <c r="E177" s="118"/>
      <c r="F177" s="118">
        <v>23880</v>
      </c>
      <c r="G177" s="118">
        <v>0</v>
      </c>
      <c r="H177" s="27"/>
      <c r="I177" s="149"/>
      <c r="J177" s="150">
        <f>G177/G$394</f>
        <v>0</v>
      </c>
    </row>
    <row r="178" spans="1:10" s="37" customFormat="1" ht="15">
      <c r="A178" s="155">
        <f t="shared" si="3"/>
        <v>121</v>
      </c>
      <c r="B178" s="57">
        <v>752</v>
      </c>
      <c r="C178" s="35" t="s">
        <v>185</v>
      </c>
      <c r="D178" s="109">
        <f>D179</f>
        <v>0</v>
      </c>
      <c r="E178" s="109"/>
      <c r="F178" s="109">
        <f>F179</f>
        <v>0</v>
      </c>
      <c r="G178" s="109">
        <f>G179</f>
        <v>0</v>
      </c>
      <c r="H178" s="36"/>
      <c r="I178" s="137"/>
      <c r="J178" s="138">
        <f>G178/G$394</f>
        <v>0</v>
      </c>
    </row>
    <row r="179" spans="1:10" s="41" customFormat="1" ht="12.75">
      <c r="A179" s="155">
        <f t="shared" si="3"/>
        <v>122</v>
      </c>
      <c r="B179" s="42">
        <v>75212</v>
      </c>
      <c r="C179" s="39" t="s">
        <v>186</v>
      </c>
      <c r="D179" s="114">
        <f>D183</f>
        <v>0</v>
      </c>
      <c r="E179" s="114"/>
      <c r="F179" s="114">
        <f>F183</f>
        <v>0</v>
      </c>
      <c r="G179" s="114">
        <f>G183</f>
        <v>0</v>
      </c>
      <c r="H179" s="40"/>
      <c r="I179" s="147"/>
      <c r="J179" s="148">
        <f>G179/G$394</f>
        <v>0</v>
      </c>
    </row>
    <row r="180" spans="1:10" ht="12.75">
      <c r="A180" s="155">
        <f t="shared" si="3"/>
        <v>123</v>
      </c>
      <c r="B180" s="43">
        <v>2010</v>
      </c>
      <c r="C180" s="7" t="s">
        <v>76</v>
      </c>
      <c r="D180" s="118"/>
      <c r="E180" s="118"/>
      <c r="F180" s="118"/>
      <c r="G180" s="118"/>
      <c r="H180" s="27"/>
      <c r="I180" s="149"/>
      <c r="J180" s="150"/>
    </row>
    <row r="181" spans="1:10" ht="12.75">
      <c r="A181" s="155">
        <f t="shared" si="3"/>
        <v>124</v>
      </c>
      <c r="B181" s="43"/>
      <c r="C181" s="7" t="s">
        <v>83</v>
      </c>
      <c r="D181" s="118"/>
      <c r="E181" s="118"/>
      <c r="F181" s="118"/>
      <c r="G181" s="118"/>
      <c r="H181" s="27"/>
      <c r="I181" s="149"/>
      <c r="J181" s="150"/>
    </row>
    <row r="182" spans="1:10" ht="12.75">
      <c r="A182" s="155">
        <f t="shared" si="3"/>
        <v>125</v>
      </c>
      <c r="B182" s="43"/>
      <c r="C182" s="7" t="s">
        <v>84</v>
      </c>
      <c r="D182" s="118"/>
      <c r="E182" s="118"/>
      <c r="F182" s="118"/>
      <c r="G182" s="118"/>
      <c r="H182" s="27"/>
      <c r="I182" s="149"/>
      <c r="J182" s="150"/>
    </row>
    <row r="183" spans="1:10" ht="12.75">
      <c r="A183" s="155">
        <f t="shared" si="3"/>
        <v>126</v>
      </c>
      <c r="B183" s="43"/>
      <c r="C183" s="7" t="s">
        <v>77</v>
      </c>
      <c r="D183" s="118">
        <v>0</v>
      </c>
      <c r="E183" s="118"/>
      <c r="F183" s="118">
        <v>0</v>
      </c>
      <c r="G183" s="118">
        <v>0</v>
      </c>
      <c r="H183" s="27"/>
      <c r="I183" s="149"/>
      <c r="J183" s="150">
        <f>G183/G$394</f>
        <v>0</v>
      </c>
    </row>
    <row r="184" spans="1:10" s="4" customFormat="1" ht="15">
      <c r="A184" s="155">
        <f t="shared" si="3"/>
        <v>127</v>
      </c>
      <c r="B184" s="12">
        <v>754</v>
      </c>
      <c r="C184" s="10" t="s">
        <v>5</v>
      </c>
      <c r="D184" s="113"/>
      <c r="E184" s="113"/>
      <c r="F184" s="113"/>
      <c r="G184" s="113"/>
      <c r="H184" s="20"/>
      <c r="I184" s="149"/>
      <c r="J184" s="150"/>
    </row>
    <row r="185" spans="1:10" s="4" customFormat="1" ht="15">
      <c r="A185" s="155">
        <f t="shared" si="3"/>
        <v>128</v>
      </c>
      <c r="B185" s="12"/>
      <c r="C185" s="10" t="s">
        <v>44</v>
      </c>
      <c r="D185" s="113">
        <f>+D188+D186</f>
        <v>32500</v>
      </c>
      <c r="E185" s="113" t="e">
        <f>+#REF!+E188</f>
        <v>#REF!</v>
      </c>
      <c r="F185" s="113">
        <f>+F188+F186</f>
        <v>26500</v>
      </c>
      <c r="G185" s="113">
        <f>+G188+G186</f>
        <v>20000</v>
      </c>
      <c r="H185" s="20" t="e">
        <f>#REF!+H188</f>
        <v>#REF!</v>
      </c>
      <c r="I185" s="137">
        <f>G185/F185</f>
        <v>0.7547169811320755</v>
      </c>
      <c r="J185" s="138">
        <f>G185/G$394</f>
        <v>0.0007201240168776906</v>
      </c>
    </row>
    <row r="186" spans="1:10" s="3" customFormat="1" ht="12.75">
      <c r="A186" s="155">
        <f t="shared" si="3"/>
        <v>129</v>
      </c>
      <c r="B186" s="18">
        <v>75414</v>
      </c>
      <c r="C186" s="15" t="s">
        <v>236</v>
      </c>
      <c r="D186" s="117">
        <f>D187</f>
        <v>6500</v>
      </c>
      <c r="E186" s="117"/>
      <c r="F186" s="117">
        <f>F187</f>
        <v>6500</v>
      </c>
      <c r="G186" s="117">
        <f>G187</f>
        <v>0</v>
      </c>
      <c r="H186" s="21"/>
      <c r="I186" s="147"/>
      <c r="J186" s="148"/>
    </row>
    <row r="187" spans="1:10" s="6" customFormat="1" ht="12.75">
      <c r="A187" s="155">
        <f t="shared" si="3"/>
        <v>130</v>
      </c>
      <c r="B187" s="19">
        <v>2030</v>
      </c>
      <c r="C187" s="11" t="s">
        <v>237</v>
      </c>
      <c r="D187" s="120">
        <v>6500</v>
      </c>
      <c r="E187" s="120"/>
      <c r="F187" s="120">
        <v>6500</v>
      </c>
      <c r="G187" s="120">
        <v>0</v>
      </c>
      <c r="H187" s="32"/>
      <c r="I187" s="149"/>
      <c r="J187" s="150"/>
    </row>
    <row r="188" spans="1:10" s="41" customFormat="1" ht="12.75">
      <c r="A188" s="155">
        <f t="shared" si="3"/>
        <v>131</v>
      </c>
      <c r="B188" s="42">
        <v>75416</v>
      </c>
      <c r="C188" s="39" t="s">
        <v>92</v>
      </c>
      <c r="D188" s="114">
        <f>D190</f>
        <v>26000</v>
      </c>
      <c r="E188" s="114">
        <f>E190</f>
        <v>-6000</v>
      </c>
      <c r="F188" s="114">
        <f>F190</f>
        <v>20000</v>
      </c>
      <c r="G188" s="114">
        <f>G190</f>
        <v>20000</v>
      </c>
      <c r="H188" s="40">
        <f>H190</f>
        <v>16000</v>
      </c>
      <c r="I188" s="147">
        <f>G188/F188</f>
        <v>1</v>
      </c>
      <c r="J188" s="148">
        <f>G188/G$394</f>
        <v>0.0007201240168776906</v>
      </c>
    </row>
    <row r="189" spans="1:10" ht="12.75">
      <c r="A189" s="155">
        <f t="shared" si="3"/>
        <v>132</v>
      </c>
      <c r="B189" s="43" t="s">
        <v>143</v>
      </c>
      <c r="C189" s="7" t="s">
        <v>93</v>
      </c>
      <c r="D189" s="118"/>
      <c r="E189" s="118"/>
      <c r="F189" s="118"/>
      <c r="G189" s="118"/>
      <c r="H189" s="27"/>
      <c r="I189" s="149"/>
      <c r="J189" s="150"/>
    </row>
    <row r="190" spans="1:10" ht="12.75">
      <c r="A190" s="155">
        <f t="shared" si="3"/>
        <v>133</v>
      </c>
      <c r="B190" s="43"/>
      <c r="C190" s="7" t="s">
        <v>66</v>
      </c>
      <c r="D190" s="118">
        <v>26000</v>
      </c>
      <c r="E190" s="118">
        <f>G190-D190</f>
        <v>-6000</v>
      </c>
      <c r="F190" s="118">
        <v>20000</v>
      </c>
      <c r="G190" s="118">
        <v>20000</v>
      </c>
      <c r="H190" s="27">
        <v>16000</v>
      </c>
      <c r="I190" s="149">
        <f>G190/F190</f>
        <v>1</v>
      </c>
      <c r="J190" s="150">
        <f>G190/G$394</f>
        <v>0.0007201240168776906</v>
      </c>
    </row>
    <row r="191" spans="1:10" s="4" customFormat="1" ht="15">
      <c r="A191" s="155">
        <f aca="true" t="shared" si="6" ref="A191:A256">A190+1</f>
        <v>134</v>
      </c>
      <c r="B191" s="12">
        <v>756</v>
      </c>
      <c r="C191" s="13" t="s">
        <v>17</v>
      </c>
      <c r="D191" s="113"/>
      <c r="E191" s="113"/>
      <c r="F191" s="113"/>
      <c r="G191" s="113"/>
      <c r="H191" s="20"/>
      <c r="I191" s="149"/>
      <c r="J191" s="150"/>
    </row>
    <row r="192" spans="1:10" s="4" customFormat="1" ht="15">
      <c r="A192" s="155">
        <f t="shared" si="6"/>
        <v>135</v>
      </c>
      <c r="B192" s="12"/>
      <c r="C192" s="13" t="s">
        <v>18</v>
      </c>
      <c r="D192" s="113">
        <f>D194+D202+D222+D236+D245</f>
        <v>9019583</v>
      </c>
      <c r="E192" s="113">
        <f>E194+E202+E222+E236+E245</f>
        <v>499894</v>
      </c>
      <c r="F192" s="113">
        <f>F194+F202+F222+F236+F245</f>
        <v>8813432.780000001</v>
      </c>
      <c r="G192" s="113">
        <f>G194+G202+G222+G236+G245</f>
        <v>9153345</v>
      </c>
      <c r="H192" s="20" t="e">
        <f>H194+H202++#REF!+H235+H245</f>
        <v>#REF!</v>
      </c>
      <c r="I192" s="137">
        <f>G192/F192</f>
        <v>1.0385675171621378</v>
      </c>
      <c r="J192" s="138">
        <f>G192/G$394</f>
        <v>0.32957717846336626</v>
      </c>
    </row>
    <row r="193" spans="1:10" s="3" customFormat="1" ht="12.75">
      <c r="A193" s="155">
        <f t="shared" si="6"/>
        <v>136</v>
      </c>
      <c r="B193" s="14">
        <v>75601</v>
      </c>
      <c r="C193" s="23" t="s">
        <v>41</v>
      </c>
      <c r="D193" s="117"/>
      <c r="E193" s="117"/>
      <c r="F193" s="117"/>
      <c r="G193" s="117"/>
      <c r="H193" s="21"/>
      <c r="I193" s="137"/>
      <c r="J193" s="138"/>
    </row>
    <row r="194" spans="1:10" s="3" customFormat="1" ht="12.75">
      <c r="A194" s="155">
        <f t="shared" si="6"/>
        <v>137</v>
      </c>
      <c r="B194" s="14"/>
      <c r="C194" s="23" t="s">
        <v>40</v>
      </c>
      <c r="D194" s="117">
        <f>SUM(D197:D198)</f>
        <v>138700</v>
      </c>
      <c r="E194" s="117">
        <f>SUM(E197:E198)</f>
        <v>0</v>
      </c>
      <c r="F194" s="117">
        <f>SUM(F197:F198)</f>
        <v>138700</v>
      </c>
      <c r="G194" s="117">
        <f>SUM(G197:G198)</f>
        <v>138700</v>
      </c>
      <c r="H194" s="21">
        <f>SUM(H197:H198)</f>
        <v>140000</v>
      </c>
      <c r="I194" s="147">
        <f>G194/F194</f>
        <v>1</v>
      </c>
      <c r="J194" s="148">
        <f>G194/G$394</f>
        <v>0.004994060057046785</v>
      </c>
    </row>
    <row r="195" spans="1:10" s="3" customFormat="1" ht="12.75">
      <c r="A195" s="155">
        <f t="shared" si="6"/>
        <v>138</v>
      </c>
      <c r="B195" s="43" t="s">
        <v>144</v>
      </c>
      <c r="C195" s="7" t="s">
        <v>68</v>
      </c>
      <c r="D195" s="117"/>
      <c r="E195" s="117"/>
      <c r="F195" s="117"/>
      <c r="G195" s="117"/>
      <c r="H195" s="21"/>
      <c r="I195" s="149"/>
      <c r="J195" s="150"/>
    </row>
    <row r="196" spans="1:10" s="3" customFormat="1" ht="12.75">
      <c r="A196" s="155">
        <f t="shared" si="6"/>
        <v>139</v>
      </c>
      <c r="B196" s="43"/>
      <c r="C196" s="7" t="s">
        <v>87</v>
      </c>
      <c r="D196" s="117"/>
      <c r="E196" s="117"/>
      <c r="F196" s="117"/>
      <c r="G196" s="117"/>
      <c r="H196" s="21"/>
      <c r="I196" s="149"/>
      <c r="J196" s="150"/>
    </row>
    <row r="197" spans="1:10" s="3" customFormat="1" ht="12.75">
      <c r="A197" s="155">
        <f t="shared" si="6"/>
        <v>140</v>
      </c>
      <c r="B197" s="43"/>
      <c r="C197" s="7" t="s">
        <v>69</v>
      </c>
      <c r="D197" s="119">
        <v>138000</v>
      </c>
      <c r="E197" s="118">
        <f>G197-D197</f>
        <v>0</v>
      </c>
      <c r="F197" s="118">
        <v>138000</v>
      </c>
      <c r="G197" s="119">
        <v>138000</v>
      </c>
      <c r="H197" s="51">
        <v>138000</v>
      </c>
      <c r="I197" s="149">
        <f>G197/F197</f>
        <v>1</v>
      </c>
      <c r="J197" s="150">
        <f>G197/G$394</f>
        <v>0.004968855716456065</v>
      </c>
    </row>
    <row r="198" spans="1:10" s="3" customFormat="1" ht="12.75">
      <c r="A198" s="155">
        <f t="shared" si="6"/>
        <v>141</v>
      </c>
      <c r="B198" s="43" t="s">
        <v>136</v>
      </c>
      <c r="C198" s="7" t="s">
        <v>98</v>
      </c>
      <c r="D198" s="119">
        <v>700</v>
      </c>
      <c r="E198" s="118">
        <f>G198-D198</f>
        <v>0</v>
      </c>
      <c r="F198" s="118">
        <v>700</v>
      </c>
      <c r="G198" s="119">
        <v>700</v>
      </c>
      <c r="H198" s="51">
        <v>2000</v>
      </c>
      <c r="I198" s="149">
        <f>G198/F198</f>
        <v>1</v>
      </c>
      <c r="J198" s="150">
        <f>G198/G$394</f>
        <v>2.5204340590719173E-05</v>
      </c>
    </row>
    <row r="199" spans="1:10" s="3" customFormat="1" ht="12.75">
      <c r="A199" s="155">
        <f t="shared" si="6"/>
        <v>142</v>
      </c>
      <c r="B199" s="14">
        <v>75615</v>
      </c>
      <c r="C199" s="23" t="s">
        <v>42</v>
      </c>
      <c r="D199" s="117"/>
      <c r="E199" s="117"/>
      <c r="F199" s="117"/>
      <c r="G199" s="117"/>
      <c r="H199" s="21"/>
      <c r="I199" s="149"/>
      <c r="J199" s="150"/>
    </row>
    <row r="200" spans="1:10" s="3" customFormat="1" ht="12.75">
      <c r="A200" s="155">
        <f t="shared" si="6"/>
        <v>143</v>
      </c>
      <c r="B200" s="14"/>
      <c r="C200" s="23" t="s">
        <v>176</v>
      </c>
      <c r="D200" s="117"/>
      <c r="E200" s="117"/>
      <c r="F200" s="117"/>
      <c r="G200" s="117"/>
      <c r="H200" s="21"/>
      <c r="I200" s="149"/>
      <c r="J200" s="150"/>
    </row>
    <row r="201" spans="1:10" s="3" customFormat="1" ht="12.75">
      <c r="A201" s="155">
        <f t="shared" si="6"/>
        <v>144</v>
      </c>
      <c r="B201" s="14"/>
      <c r="C201" s="23" t="s">
        <v>177</v>
      </c>
      <c r="D201" s="117"/>
      <c r="E201" s="117"/>
      <c r="F201" s="117"/>
      <c r="G201" s="117"/>
      <c r="H201" s="21"/>
      <c r="I201" s="149"/>
      <c r="J201" s="150"/>
    </row>
    <row r="202" spans="1:10" s="3" customFormat="1" ht="12.75">
      <c r="A202" s="155">
        <f t="shared" si="6"/>
        <v>145</v>
      </c>
      <c r="B202" s="14"/>
      <c r="C202" s="54" t="s">
        <v>205</v>
      </c>
      <c r="D202" s="117">
        <f>D203+D204+D205+D206+D207+D208+D213+D214</f>
        <v>4010732</v>
      </c>
      <c r="E202" s="117">
        <f>E203+E204+E205+E206+E207+E208+E213</f>
        <v>23000</v>
      </c>
      <c r="F202" s="117">
        <f>F203+F204+F205+F206+F207+F208+F213+F214</f>
        <v>4033832</v>
      </c>
      <c r="G202" s="117">
        <f>G203+G204+G205+G206+G207+G208+G213+G214</f>
        <v>3851800</v>
      </c>
      <c r="H202" s="21">
        <f>H203+H204+H205+H206+H207+H208+H213</f>
        <v>3568940</v>
      </c>
      <c r="I202" s="147">
        <f>G202/F202</f>
        <v>0.9548736784278572</v>
      </c>
      <c r="J202" s="148">
        <f aca="true" t="shared" si="7" ref="J202:J208">G202/G$394</f>
        <v>0.13868868441047444</v>
      </c>
    </row>
    <row r="203" spans="1:10" ht="12.75">
      <c r="A203" s="155">
        <f t="shared" si="6"/>
        <v>146</v>
      </c>
      <c r="B203" s="43" t="s">
        <v>145</v>
      </c>
      <c r="C203" s="7" t="s">
        <v>21</v>
      </c>
      <c r="D203" s="118">
        <v>3718000</v>
      </c>
      <c r="E203" s="118">
        <f>G203-D203</f>
        <v>0</v>
      </c>
      <c r="F203" s="118">
        <v>3718000</v>
      </c>
      <c r="G203" s="118">
        <v>3718000</v>
      </c>
      <c r="H203" s="27">
        <f>3121000+198500</f>
        <v>3319500</v>
      </c>
      <c r="I203" s="149">
        <f aca="true" t="shared" si="8" ref="I203:I213">G203/F203</f>
        <v>1</v>
      </c>
      <c r="J203" s="150">
        <f t="shared" si="7"/>
        <v>0.1338710547375627</v>
      </c>
    </row>
    <row r="204" spans="1:10" ht="12.75">
      <c r="A204" s="155">
        <f t="shared" si="6"/>
        <v>147</v>
      </c>
      <c r="B204" s="43" t="s">
        <v>146</v>
      </c>
      <c r="C204" s="7" t="s">
        <v>19</v>
      </c>
      <c r="D204" s="118">
        <v>1100</v>
      </c>
      <c r="E204" s="118">
        <f>G204-D204</f>
        <v>-600</v>
      </c>
      <c r="F204" s="118">
        <v>500</v>
      </c>
      <c r="G204" s="118">
        <v>500</v>
      </c>
      <c r="H204" s="27">
        <v>500</v>
      </c>
      <c r="I204" s="149">
        <f t="shared" si="8"/>
        <v>1</v>
      </c>
      <c r="J204" s="150">
        <f t="shared" si="7"/>
        <v>1.8003100421942267E-05</v>
      </c>
    </row>
    <row r="205" spans="1:10" ht="12.75">
      <c r="A205" s="155">
        <f t="shared" si="6"/>
        <v>148</v>
      </c>
      <c r="B205" s="43" t="s">
        <v>147</v>
      </c>
      <c r="C205" s="7" t="s">
        <v>20</v>
      </c>
      <c r="D205" s="118">
        <v>58000</v>
      </c>
      <c r="E205" s="118">
        <f>G205-D205</f>
        <v>0</v>
      </c>
      <c r="F205" s="118">
        <v>58000</v>
      </c>
      <c r="G205" s="118">
        <v>58000</v>
      </c>
      <c r="H205" s="27">
        <v>51940</v>
      </c>
      <c r="I205" s="149">
        <f t="shared" si="8"/>
        <v>1</v>
      </c>
      <c r="J205" s="150">
        <f t="shared" si="7"/>
        <v>0.0020883596489453026</v>
      </c>
    </row>
    <row r="206" spans="1:10" ht="12.75">
      <c r="A206" s="155">
        <f t="shared" si="6"/>
        <v>149</v>
      </c>
      <c r="B206" s="43" t="s">
        <v>148</v>
      </c>
      <c r="C206" s="7" t="s">
        <v>22</v>
      </c>
      <c r="D206" s="118">
        <v>11300</v>
      </c>
      <c r="E206" s="118">
        <f>G206-D206</f>
        <v>-2300</v>
      </c>
      <c r="F206" s="118">
        <v>9000</v>
      </c>
      <c r="G206" s="118">
        <v>9000</v>
      </c>
      <c r="H206" s="27">
        <v>14000</v>
      </c>
      <c r="I206" s="149">
        <f t="shared" si="8"/>
        <v>1</v>
      </c>
      <c r="J206" s="150">
        <f t="shared" si="7"/>
        <v>0.00032405580759496075</v>
      </c>
    </row>
    <row r="207" spans="1:10" ht="12.75">
      <c r="A207" s="155">
        <f t="shared" si="6"/>
        <v>150</v>
      </c>
      <c r="B207" s="43" t="s">
        <v>152</v>
      </c>
      <c r="C207" s="7" t="s">
        <v>99</v>
      </c>
      <c r="D207" s="118">
        <v>4100</v>
      </c>
      <c r="E207" s="118">
        <f>G207-D207</f>
        <v>5900</v>
      </c>
      <c r="F207" s="118">
        <v>10000</v>
      </c>
      <c r="G207" s="118">
        <v>10000</v>
      </c>
      <c r="H207" s="27">
        <v>15000</v>
      </c>
      <c r="I207" s="149">
        <f t="shared" si="8"/>
        <v>1</v>
      </c>
      <c r="J207" s="150">
        <f t="shared" si="7"/>
        <v>0.0003600620084388453</v>
      </c>
    </row>
    <row r="208" spans="1:10" ht="12.75">
      <c r="A208" s="155">
        <f t="shared" si="6"/>
        <v>151</v>
      </c>
      <c r="B208" s="43" t="s">
        <v>131</v>
      </c>
      <c r="C208" s="7" t="s">
        <v>56</v>
      </c>
      <c r="D208" s="118">
        <f>SUM(D210:D211)</f>
        <v>6200</v>
      </c>
      <c r="E208" s="118">
        <f>SUM(E210)</f>
        <v>0</v>
      </c>
      <c r="F208" s="118">
        <f>SUM(F210:F211)</f>
        <v>6300</v>
      </c>
      <c r="G208" s="118">
        <f>SUM(G210:G211)</f>
        <v>6300</v>
      </c>
      <c r="H208" s="27">
        <f>SUM(H210)</f>
        <v>18000</v>
      </c>
      <c r="I208" s="149">
        <f t="shared" si="8"/>
        <v>1</v>
      </c>
      <c r="J208" s="150">
        <f t="shared" si="7"/>
        <v>0.00022683906531647256</v>
      </c>
    </row>
    <row r="209" spans="1:10" ht="12.75">
      <c r="A209" s="155">
        <f t="shared" si="6"/>
        <v>152</v>
      </c>
      <c r="B209" s="43"/>
      <c r="C209" s="7" t="s">
        <v>9</v>
      </c>
      <c r="D209" s="118"/>
      <c r="E209" s="118"/>
      <c r="F209" s="118"/>
      <c r="G209" s="118"/>
      <c r="H209" s="27"/>
      <c r="I209" s="149"/>
      <c r="J209" s="150"/>
    </row>
    <row r="210" spans="1:10" ht="12.75">
      <c r="A210" s="155">
        <f t="shared" si="6"/>
        <v>153</v>
      </c>
      <c r="B210" s="43"/>
      <c r="C210" s="7" t="s">
        <v>23</v>
      </c>
      <c r="D210" s="118">
        <v>6000</v>
      </c>
      <c r="E210" s="118">
        <f>G210-D210</f>
        <v>0</v>
      </c>
      <c r="F210" s="118">
        <v>6000</v>
      </c>
      <c r="G210" s="118">
        <v>6000</v>
      </c>
      <c r="H210" s="27">
        <v>18000</v>
      </c>
      <c r="I210" s="149">
        <f t="shared" si="8"/>
        <v>1</v>
      </c>
      <c r="J210" s="150">
        <f>G210/G$394</f>
        <v>0.0002160372050633072</v>
      </c>
    </row>
    <row r="211" spans="1:10" ht="12.75">
      <c r="A211" s="155">
        <f t="shared" si="6"/>
        <v>154</v>
      </c>
      <c r="B211" s="43"/>
      <c r="C211" s="7" t="s">
        <v>104</v>
      </c>
      <c r="D211" s="118">
        <v>200</v>
      </c>
      <c r="E211" s="118"/>
      <c r="F211" s="118">
        <v>300</v>
      </c>
      <c r="G211" s="118">
        <v>300</v>
      </c>
      <c r="H211" s="27"/>
      <c r="I211" s="149">
        <f t="shared" si="8"/>
        <v>1</v>
      </c>
      <c r="J211" s="150">
        <f>G211/G$394</f>
        <v>1.0801860253165359E-05</v>
      </c>
    </row>
    <row r="212" spans="1:10" ht="12.75">
      <c r="A212" s="155">
        <f t="shared" si="6"/>
        <v>155</v>
      </c>
      <c r="B212" s="43" t="s">
        <v>136</v>
      </c>
      <c r="C212" s="7" t="s">
        <v>63</v>
      </c>
      <c r="D212" s="118"/>
      <c r="E212" s="118">
        <f>G212-D212</f>
        <v>0</v>
      </c>
      <c r="F212" s="118"/>
      <c r="G212" s="118"/>
      <c r="H212" s="27"/>
      <c r="I212" s="149"/>
      <c r="J212" s="150"/>
    </row>
    <row r="213" spans="1:10" ht="12.75">
      <c r="A213" s="155">
        <f t="shared" si="6"/>
        <v>156</v>
      </c>
      <c r="B213" s="7"/>
      <c r="C213" s="7" t="s">
        <v>54</v>
      </c>
      <c r="D213" s="118">
        <v>30000</v>
      </c>
      <c r="E213" s="118">
        <f>G213-D213</f>
        <v>20000</v>
      </c>
      <c r="F213" s="118">
        <v>50000</v>
      </c>
      <c r="G213" s="118">
        <v>50000</v>
      </c>
      <c r="H213" s="27">
        <f>50000+100000</f>
        <v>150000</v>
      </c>
      <c r="I213" s="149">
        <f t="shared" si="8"/>
        <v>1</v>
      </c>
      <c r="J213" s="150">
        <f>G213/G$394</f>
        <v>0.0018003100421942265</v>
      </c>
    </row>
    <row r="214" spans="1:10" ht="12.75">
      <c r="A214" s="155">
        <f t="shared" si="6"/>
        <v>157</v>
      </c>
      <c r="B214" s="7">
        <v>2680</v>
      </c>
      <c r="C214" s="7" t="s">
        <v>238</v>
      </c>
      <c r="D214" s="118">
        <v>182032</v>
      </c>
      <c r="E214" s="118"/>
      <c r="F214" s="118">
        <v>182032</v>
      </c>
      <c r="G214" s="118">
        <v>0</v>
      </c>
      <c r="H214" s="27"/>
      <c r="I214" s="149"/>
      <c r="J214" s="150"/>
    </row>
    <row r="215" spans="1:10" ht="12.75">
      <c r="A215" s="155">
        <f t="shared" si="6"/>
        <v>158</v>
      </c>
      <c r="B215" s="7"/>
      <c r="C215" s="7"/>
      <c r="D215" s="118"/>
      <c r="E215" s="118"/>
      <c r="F215" s="118"/>
      <c r="G215" s="118"/>
      <c r="H215" s="27"/>
      <c r="I215" s="149"/>
      <c r="J215" s="150"/>
    </row>
    <row r="216" spans="1:10" ht="12.75">
      <c r="A216" s="155">
        <f t="shared" si="6"/>
        <v>159</v>
      </c>
      <c r="B216" s="7"/>
      <c r="C216" s="7"/>
      <c r="D216" s="118"/>
      <c r="E216" s="118"/>
      <c r="F216" s="118"/>
      <c r="G216" s="118"/>
      <c r="H216" s="27"/>
      <c r="I216" s="149"/>
      <c r="J216" s="150"/>
    </row>
    <row r="217" spans="1:10" ht="12.75">
      <c r="A217" s="155">
        <f t="shared" si="6"/>
        <v>160</v>
      </c>
      <c r="B217" s="7"/>
      <c r="C217" s="7"/>
      <c r="D217" s="118"/>
      <c r="E217" s="118"/>
      <c r="F217" s="118"/>
      <c r="G217" s="118"/>
      <c r="H217" s="27"/>
      <c r="I217" s="149"/>
      <c r="J217" s="150"/>
    </row>
    <row r="218" spans="1:10" ht="12.75">
      <c r="A218" s="155">
        <f t="shared" si="6"/>
        <v>161</v>
      </c>
      <c r="B218" s="14">
        <v>75616</v>
      </c>
      <c r="C218" s="23" t="s">
        <v>178</v>
      </c>
      <c r="D218" s="118"/>
      <c r="E218" s="118"/>
      <c r="F218" s="118"/>
      <c r="G218" s="118"/>
      <c r="H218" s="27"/>
      <c r="I218" s="149"/>
      <c r="J218" s="150"/>
    </row>
    <row r="219" spans="1:10" ht="12.75">
      <c r="A219" s="155">
        <f t="shared" si="6"/>
        <v>162</v>
      </c>
      <c r="B219" s="14"/>
      <c r="C219" s="23" t="s">
        <v>179</v>
      </c>
      <c r="D219" s="118"/>
      <c r="E219" s="118"/>
      <c r="F219" s="118"/>
      <c r="G219" s="118"/>
      <c r="H219" s="27"/>
      <c r="I219" s="149"/>
      <c r="J219" s="150"/>
    </row>
    <row r="220" spans="1:10" ht="12.75">
      <c r="A220" s="155">
        <f t="shared" si="6"/>
        <v>163</v>
      </c>
      <c r="B220" s="14"/>
      <c r="C220" s="23" t="s">
        <v>180</v>
      </c>
      <c r="D220" s="118"/>
      <c r="E220" s="118"/>
      <c r="F220" s="118"/>
      <c r="G220" s="118"/>
      <c r="H220" s="27"/>
      <c r="I220" s="149"/>
      <c r="J220" s="150"/>
    </row>
    <row r="221" spans="1:10" ht="12.75">
      <c r="A221" s="155">
        <f t="shared" si="6"/>
        <v>164</v>
      </c>
      <c r="B221" s="14"/>
      <c r="C221" s="23" t="s">
        <v>181</v>
      </c>
      <c r="D221" s="118"/>
      <c r="E221" s="118"/>
      <c r="F221" s="118"/>
      <c r="G221" s="118"/>
      <c r="H221" s="27"/>
      <c r="I221" s="149"/>
      <c r="J221" s="150"/>
    </row>
    <row r="222" spans="1:10" ht="12.75">
      <c r="A222" s="155">
        <f t="shared" si="6"/>
        <v>165</v>
      </c>
      <c r="B222" s="14"/>
      <c r="C222" s="23" t="s">
        <v>206</v>
      </c>
      <c r="D222" s="114">
        <f>D223+D224+D225+D226+D227+D228+D229+D230+D234</f>
        <v>2023100</v>
      </c>
      <c r="E222" s="114"/>
      <c r="F222" s="114">
        <f>F223+F224+F225+F226+F227+F228+F229+F230+F234</f>
        <v>1916900.78</v>
      </c>
      <c r="G222" s="114">
        <f>G223+G224+G225+G226+G227+G228+G229+G230+G234</f>
        <v>1868900</v>
      </c>
      <c r="H222" s="27"/>
      <c r="I222" s="147">
        <f aca="true" t="shared" si="9" ref="I222:I234">G222/F222</f>
        <v>0.9749591734215894</v>
      </c>
      <c r="J222" s="148">
        <f aca="true" t="shared" si="10" ref="J222:J230">G222/G$394</f>
        <v>0.0672919887571358</v>
      </c>
    </row>
    <row r="223" spans="1:10" ht="12.75">
      <c r="A223" s="155">
        <f t="shared" si="6"/>
        <v>166</v>
      </c>
      <c r="B223" s="43" t="s">
        <v>145</v>
      </c>
      <c r="C223" s="7" t="s">
        <v>21</v>
      </c>
      <c r="D223" s="118">
        <v>1338000</v>
      </c>
      <c r="E223" s="118"/>
      <c r="F223" s="118">
        <v>1338000</v>
      </c>
      <c r="G223" s="118">
        <f>1338000</f>
        <v>1338000</v>
      </c>
      <c r="H223" s="27"/>
      <c r="I223" s="149">
        <f t="shared" si="9"/>
        <v>1</v>
      </c>
      <c r="J223" s="150">
        <f t="shared" si="10"/>
        <v>0.0481762967291175</v>
      </c>
    </row>
    <row r="224" spans="1:10" ht="12.75">
      <c r="A224" s="155">
        <f t="shared" si="6"/>
        <v>167</v>
      </c>
      <c r="B224" s="43" t="s">
        <v>146</v>
      </c>
      <c r="C224" s="7" t="s">
        <v>19</v>
      </c>
      <c r="D224" s="118">
        <v>4400</v>
      </c>
      <c r="E224" s="118"/>
      <c r="F224" s="118">
        <v>4400</v>
      </c>
      <c r="G224" s="118">
        <v>4400</v>
      </c>
      <c r="H224" s="27"/>
      <c r="I224" s="149">
        <f t="shared" si="9"/>
        <v>1</v>
      </c>
      <c r="J224" s="150">
        <f t="shared" si="10"/>
        <v>0.00015842728371309194</v>
      </c>
    </row>
    <row r="225" spans="1:10" ht="12.75">
      <c r="A225" s="155">
        <f t="shared" si="6"/>
        <v>168</v>
      </c>
      <c r="B225" s="43" t="s">
        <v>148</v>
      </c>
      <c r="C225" s="7" t="s">
        <v>22</v>
      </c>
      <c r="D225" s="118">
        <v>60500</v>
      </c>
      <c r="E225" s="118"/>
      <c r="F225" s="118">
        <v>55000</v>
      </c>
      <c r="G225" s="118">
        <v>55000</v>
      </c>
      <c r="H225" s="27"/>
      <c r="I225" s="149">
        <f t="shared" si="9"/>
        <v>1</v>
      </c>
      <c r="J225" s="150">
        <f t="shared" si="10"/>
        <v>0.001980341046413649</v>
      </c>
    </row>
    <row r="226" spans="1:10" ht="12.75">
      <c r="A226" s="155">
        <f t="shared" si="6"/>
        <v>169</v>
      </c>
      <c r="B226" s="43" t="s">
        <v>149</v>
      </c>
      <c r="C226" s="7" t="s">
        <v>24</v>
      </c>
      <c r="D226" s="118">
        <v>40000</v>
      </c>
      <c r="E226" s="118"/>
      <c r="F226" s="118">
        <v>46000</v>
      </c>
      <c r="G226" s="118">
        <v>46000</v>
      </c>
      <c r="H226" s="27"/>
      <c r="I226" s="149">
        <f t="shared" si="9"/>
        <v>1</v>
      </c>
      <c r="J226" s="150">
        <f t="shared" si="10"/>
        <v>0.0016562852388186883</v>
      </c>
    </row>
    <row r="227" spans="1:10" ht="12.75">
      <c r="A227" s="155">
        <f t="shared" si="6"/>
        <v>170</v>
      </c>
      <c r="B227" s="43" t="s">
        <v>150</v>
      </c>
      <c r="C227" s="7" t="s">
        <v>25</v>
      </c>
      <c r="D227" s="118">
        <v>7200</v>
      </c>
      <c r="E227" s="118"/>
      <c r="F227" s="118">
        <v>5000</v>
      </c>
      <c r="G227" s="118">
        <v>5000</v>
      </c>
      <c r="H227" s="27"/>
      <c r="I227" s="149">
        <f t="shared" si="9"/>
        <v>1</v>
      </c>
      <c r="J227" s="150">
        <f t="shared" si="10"/>
        <v>0.00018003100421942265</v>
      </c>
    </row>
    <row r="228" spans="1:10" ht="12.75">
      <c r="A228" s="155">
        <f t="shared" si="6"/>
        <v>171</v>
      </c>
      <c r="B228" s="43" t="s">
        <v>151</v>
      </c>
      <c r="C228" s="7" t="s">
        <v>70</v>
      </c>
      <c r="D228" s="118">
        <v>150000</v>
      </c>
      <c r="E228" s="118"/>
      <c r="F228" s="118">
        <v>150000</v>
      </c>
      <c r="G228" s="118">
        <v>100000</v>
      </c>
      <c r="H228" s="27"/>
      <c r="I228" s="149">
        <f t="shared" si="9"/>
        <v>0.6666666666666666</v>
      </c>
      <c r="J228" s="150">
        <f t="shared" si="10"/>
        <v>0.003600620084388453</v>
      </c>
    </row>
    <row r="229" spans="1:10" ht="12.75">
      <c r="A229" s="155">
        <f t="shared" si="6"/>
        <v>172</v>
      </c>
      <c r="B229" s="43" t="s">
        <v>152</v>
      </c>
      <c r="C229" s="7" t="s">
        <v>99</v>
      </c>
      <c r="D229" s="118">
        <v>405000</v>
      </c>
      <c r="E229" s="118"/>
      <c r="F229" s="118">
        <v>300000</v>
      </c>
      <c r="G229" s="118">
        <v>300000</v>
      </c>
      <c r="H229" s="27"/>
      <c r="I229" s="149">
        <f t="shared" si="9"/>
        <v>1</v>
      </c>
      <c r="J229" s="150">
        <f t="shared" si="10"/>
        <v>0.010801860253165358</v>
      </c>
    </row>
    <row r="230" spans="1:10" ht="12.75">
      <c r="A230" s="155">
        <f t="shared" si="6"/>
        <v>173</v>
      </c>
      <c r="B230" s="43" t="s">
        <v>131</v>
      </c>
      <c r="C230" s="7" t="s">
        <v>56</v>
      </c>
      <c r="D230" s="118">
        <f>SUM(D232:D233)</f>
        <v>5000</v>
      </c>
      <c r="E230" s="118"/>
      <c r="F230" s="118">
        <f>SUM(F232:F233)</f>
        <v>5500</v>
      </c>
      <c r="G230" s="118">
        <f>SUM(G232:G233)</f>
        <v>7500</v>
      </c>
      <c r="H230" s="27"/>
      <c r="I230" s="149">
        <f t="shared" si="9"/>
        <v>1.3636363636363635</v>
      </c>
      <c r="J230" s="150">
        <f t="shared" si="10"/>
        <v>0.00027004650632913397</v>
      </c>
    </row>
    <row r="231" spans="1:10" ht="12.75">
      <c r="A231" s="155">
        <f t="shared" si="6"/>
        <v>174</v>
      </c>
      <c r="B231" s="43"/>
      <c r="C231" s="7" t="s">
        <v>9</v>
      </c>
      <c r="D231" s="118"/>
      <c r="E231" s="118"/>
      <c r="F231" s="118"/>
      <c r="G231" s="118"/>
      <c r="H231" s="27"/>
      <c r="I231" s="149"/>
      <c r="J231" s="150"/>
    </row>
    <row r="232" spans="1:10" ht="12.75">
      <c r="A232" s="155">
        <f t="shared" si="6"/>
        <v>175</v>
      </c>
      <c r="B232" s="43"/>
      <c r="C232" s="7" t="s">
        <v>23</v>
      </c>
      <c r="D232" s="118">
        <v>0</v>
      </c>
      <c r="E232" s="118"/>
      <c r="F232" s="118">
        <v>0</v>
      </c>
      <c r="G232" s="118">
        <v>2000</v>
      </c>
      <c r="H232" s="27"/>
      <c r="I232" s="149"/>
      <c r="J232" s="150">
        <f>G232/G$394</f>
        <v>7.201240168776907E-05</v>
      </c>
    </row>
    <row r="233" spans="1:10" ht="12.75">
      <c r="A233" s="155">
        <f t="shared" si="6"/>
        <v>176</v>
      </c>
      <c r="B233" s="43"/>
      <c r="C233" s="7" t="s">
        <v>104</v>
      </c>
      <c r="D233" s="118">
        <v>5000</v>
      </c>
      <c r="E233" s="118"/>
      <c r="F233" s="118">
        <v>5500</v>
      </c>
      <c r="G233" s="118">
        <v>5500</v>
      </c>
      <c r="H233" s="27"/>
      <c r="I233" s="149">
        <f t="shared" si="9"/>
        <v>1</v>
      </c>
      <c r="J233" s="150">
        <f>G233/G$394</f>
        <v>0.00019803410464136492</v>
      </c>
    </row>
    <row r="234" spans="1:10" ht="12.75">
      <c r="A234" s="155">
        <f t="shared" si="6"/>
        <v>177</v>
      </c>
      <c r="B234" s="43" t="s">
        <v>136</v>
      </c>
      <c r="C234" s="7" t="s">
        <v>184</v>
      </c>
      <c r="D234" s="118">
        <v>13000</v>
      </c>
      <c r="E234" s="118"/>
      <c r="F234" s="118">
        <v>13000.78</v>
      </c>
      <c r="G234" s="118">
        <v>13000</v>
      </c>
      <c r="H234" s="27"/>
      <c r="I234" s="149">
        <f t="shared" si="9"/>
        <v>0.999940003599784</v>
      </c>
      <c r="J234" s="150">
        <f>G234/G$394</f>
        <v>0.0004680806109704989</v>
      </c>
    </row>
    <row r="235" spans="1:10" s="3" customFormat="1" ht="12.75">
      <c r="A235" s="155">
        <f t="shared" si="6"/>
        <v>178</v>
      </c>
      <c r="B235" s="14">
        <v>75618</v>
      </c>
      <c r="C235" s="15" t="s">
        <v>100</v>
      </c>
      <c r="D235" s="117"/>
      <c r="E235" s="117" t="e">
        <f>E237+#REF!</f>
        <v>#REF!</v>
      </c>
      <c r="F235" s="117"/>
      <c r="G235" s="117"/>
      <c r="H235" s="21">
        <f>SUM(H237:H239)</f>
        <v>30000</v>
      </c>
      <c r="I235" s="149"/>
      <c r="J235" s="150"/>
    </row>
    <row r="236" spans="1:10" s="3" customFormat="1" ht="12.75">
      <c r="A236" s="155">
        <f t="shared" si="6"/>
        <v>179</v>
      </c>
      <c r="B236" s="14"/>
      <c r="C236" s="54" t="s">
        <v>127</v>
      </c>
      <c r="D236" s="117">
        <f>SUM(D237:D243)</f>
        <v>360000</v>
      </c>
      <c r="E236" s="117"/>
      <c r="F236" s="117">
        <f>SUM(F237:F243)</f>
        <v>350000</v>
      </c>
      <c r="G236" s="117">
        <f>SUM(G237:G243)</f>
        <v>330000</v>
      </c>
      <c r="H236" s="21"/>
      <c r="I236" s="149">
        <f>G236/F236</f>
        <v>0.9428571428571428</v>
      </c>
      <c r="J236" s="148">
        <f>G236/G$394</f>
        <v>0.011882046278481896</v>
      </c>
    </row>
    <row r="237" spans="1:10" ht="12.75">
      <c r="A237" s="155">
        <f t="shared" si="6"/>
        <v>180</v>
      </c>
      <c r="B237" s="43" t="s">
        <v>153</v>
      </c>
      <c r="C237" s="7" t="s">
        <v>71</v>
      </c>
      <c r="D237" s="118">
        <v>30000</v>
      </c>
      <c r="E237" s="118">
        <f>G237-D237</f>
        <v>10000</v>
      </c>
      <c r="F237" s="118">
        <v>40000</v>
      </c>
      <c r="G237" s="118">
        <v>40000</v>
      </c>
      <c r="H237" s="27">
        <v>30000</v>
      </c>
      <c r="I237" s="149">
        <f>G237/F237</f>
        <v>1</v>
      </c>
      <c r="J237" s="150">
        <f>G237/G$394</f>
        <v>0.0014402480337553812</v>
      </c>
    </row>
    <row r="238" spans="1:10" ht="12.75">
      <c r="A238" s="155">
        <f t="shared" si="6"/>
        <v>181</v>
      </c>
      <c r="B238" s="43" t="s">
        <v>154</v>
      </c>
      <c r="C238" s="7" t="s">
        <v>121</v>
      </c>
      <c r="D238" s="118"/>
      <c r="E238" s="118"/>
      <c r="F238" s="118"/>
      <c r="G238" s="118"/>
      <c r="H238" s="27"/>
      <c r="I238" s="149"/>
      <c r="J238" s="150"/>
    </row>
    <row r="239" spans="1:10" ht="12.75">
      <c r="A239" s="155">
        <f t="shared" si="6"/>
        <v>182</v>
      </c>
      <c r="B239" s="43"/>
      <c r="C239" s="7" t="s">
        <v>122</v>
      </c>
      <c r="D239" s="118">
        <v>310000</v>
      </c>
      <c r="E239" s="118"/>
      <c r="F239" s="118">
        <v>290000</v>
      </c>
      <c r="G239" s="118">
        <v>270000</v>
      </c>
      <c r="H239" s="27"/>
      <c r="I239" s="149">
        <f>G239/F239</f>
        <v>0.9310344827586207</v>
      </c>
      <c r="J239" s="150">
        <f>G239/G$394</f>
        <v>0.009721674227848823</v>
      </c>
    </row>
    <row r="240" spans="1:10" ht="12.75">
      <c r="A240" s="155">
        <f t="shared" si="6"/>
        <v>183</v>
      </c>
      <c r="B240" s="43" t="s">
        <v>225</v>
      </c>
      <c r="C240" s="44" t="s">
        <v>226</v>
      </c>
      <c r="D240" s="118"/>
      <c r="E240" s="118"/>
      <c r="F240" s="118"/>
      <c r="G240" s="118"/>
      <c r="H240" s="27"/>
      <c r="I240" s="149"/>
      <c r="J240" s="150"/>
    </row>
    <row r="241" spans="1:10" ht="12.75">
      <c r="A241" s="155">
        <f t="shared" si="6"/>
        <v>184</v>
      </c>
      <c r="B241" s="43"/>
      <c r="C241" s="7" t="s">
        <v>227</v>
      </c>
      <c r="D241" s="118">
        <v>20000</v>
      </c>
      <c r="E241" s="118"/>
      <c r="F241" s="118">
        <v>20000</v>
      </c>
      <c r="G241" s="118">
        <v>20000</v>
      </c>
      <c r="H241" s="27"/>
      <c r="I241" s="149">
        <f>G241/F241</f>
        <v>1</v>
      </c>
      <c r="J241" s="150">
        <f>G241/G$394</f>
        <v>0.0007201240168776906</v>
      </c>
    </row>
    <row r="242" spans="1:10" ht="12.75">
      <c r="A242" s="155">
        <f t="shared" si="6"/>
        <v>185</v>
      </c>
      <c r="B242" s="43" t="s">
        <v>136</v>
      </c>
      <c r="C242" s="7" t="s">
        <v>63</v>
      </c>
      <c r="D242" s="118"/>
      <c r="E242" s="118"/>
      <c r="F242" s="118"/>
      <c r="G242" s="118"/>
      <c r="H242" s="27"/>
      <c r="I242" s="149"/>
      <c r="J242" s="150"/>
    </row>
    <row r="243" spans="1:10" ht="12.75">
      <c r="A243" s="155">
        <f t="shared" si="6"/>
        <v>186</v>
      </c>
      <c r="B243" s="7"/>
      <c r="C243" s="7" t="s">
        <v>54</v>
      </c>
      <c r="D243" s="118">
        <v>0</v>
      </c>
      <c r="E243" s="118"/>
      <c r="F243" s="118">
        <v>0</v>
      </c>
      <c r="G243" s="118">
        <v>0</v>
      </c>
      <c r="H243" s="27"/>
      <c r="I243" s="149"/>
      <c r="J243" s="150"/>
    </row>
    <row r="244" spans="1:10" s="41" customFormat="1" ht="12.75">
      <c r="A244" s="155">
        <f t="shared" si="6"/>
        <v>187</v>
      </c>
      <c r="B244" s="42">
        <v>75621</v>
      </c>
      <c r="C244" s="39" t="s">
        <v>89</v>
      </c>
      <c r="D244" s="114"/>
      <c r="E244" s="114"/>
      <c r="F244" s="114"/>
      <c r="G244" s="114"/>
      <c r="H244" s="40"/>
      <c r="I244" s="149"/>
      <c r="J244" s="150"/>
    </row>
    <row r="245" spans="1:10" s="41" customFormat="1" ht="12.75">
      <c r="A245" s="155">
        <f t="shared" si="6"/>
        <v>188</v>
      </c>
      <c r="B245" s="47"/>
      <c r="C245" s="39" t="s">
        <v>88</v>
      </c>
      <c r="D245" s="114">
        <f>SUM(D246:D247)</f>
        <v>2487051</v>
      </c>
      <c r="E245" s="114">
        <f>SUM(E246:E247)</f>
        <v>476894</v>
      </c>
      <c r="F245" s="114">
        <f>SUM(F246:F247)</f>
        <v>2374000</v>
      </c>
      <c r="G245" s="114">
        <f>SUM(G246:G247)</f>
        <v>2963945</v>
      </c>
      <c r="H245" s="40">
        <f>SUM(H246:H247)</f>
        <v>1232001</v>
      </c>
      <c r="I245" s="147">
        <f>G245/F245</f>
        <v>1.2485025273799495</v>
      </c>
      <c r="J245" s="148">
        <f>G245/G$394</f>
        <v>0.10672039896022734</v>
      </c>
    </row>
    <row r="246" spans="1:10" s="52" customFormat="1" ht="12.75">
      <c r="A246" s="155">
        <f t="shared" si="6"/>
        <v>189</v>
      </c>
      <c r="B246" s="46" t="s">
        <v>155</v>
      </c>
      <c r="C246" s="45" t="s">
        <v>85</v>
      </c>
      <c r="D246" s="119">
        <v>2437051</v>
      </c>
      <c r="E246" s="118">
        <f>G246-D246</f>
        <v>476894</v>
      </c>
      <c r="F246" s="118">
        <v>2300000</v>
      </c>
      <c r="G246" s="119">
        <v>2913945</v>
      </c>
      <c r="H246" s="51">
        <f>1208799+19202</f>
        <v>1228001</v>
      </c>
      <c r="I246" s="149">
        <f>G246/F246</f>
        <v>1.2669326086956523</v>
      </c>
      <c r="J246" s="150">
        <f>G246/G$394</f>
        <v>0.1049200889180331</v>
      </c>
    </row>
    <row r="247" spans="1:10" s="52" customFormat="1" ht="12.75">
      <c r="A247" s="155">
        <f t="shared" si="6"/>
        <v>190</v>
      </c>
      <c r="B247" s="46" t="s">
        <v>156</v>
      </c>
      <c r="C247" s="45" t="s">
        <v>86</v>
      </c>
      <c r="D247" s="119">
        <v>50000</v>
      </c>
      <c r="E247" s="118">
        <f>G247-D247</f>
        <v>0</v>
      </c>
      <c r="F247" s="118">
        <v>74000</v>
      </c>
      <c r="G247" s="119">
        <v>50000</v>
      </c>
      <c r="H247" s="51">
        <v>4000</v>
      </c>
      <c r="I247" s="149">
        <f>G247/F247</f>
        <v>0.6756756756756757</v>
      </c>
      <c r="J247" s="150">
        <f>G247/G$394</f>
        <v>0.0018003100421942265</v>
      </c>
    </row>
    <row r="248" spans="1:10" s="4" customFormat="1" ht="15">
      <c r="A248" s="155">
        <f t="shared" si="6"/>
        <v>191</v>
      </c>
      <c r="B248" s="12">
        <v>758</v>
      </c>
      <c r="C248" s="13" t="s">
        <v>129</v>
      </c>
      <c r="D248" s="113">
        <f>D250+D252+D254+D264</f>
        <v>2544642</v>
      </c>
      <c r="E248" s="113" t="e">
        <f>E250+#REF!+#REF!+E254</f>
        <v>#REF!</v>
      </c>
      <c r="F248" s="113">
        <f>F250+F252+F254+F264</f>
        <v>2544056.22</v>
      </c>
      <c r="G248" s="113">
        <f>G250+G252+G254+G264</f>
        <v>2046476</v>
      </c>
      <c r="H248" s="20" t="e">
        <f>H250+#REF!+#REF!+H254</f>
        <v>#REF!</v>
      </c>
      <c r="I248" s="147">
        <f>G248/F248</f>
        <v>0.8044146131330383</v>
      </c>
      <c r="J248" s="148">
        <f>G248/G$394</f>
        <v>0.07368582587818943</v>
      </c>
    </row>
    <row r="249" spans="1:10" s="3" customFormat="1" ht="12.75">
      <c r="A249" s="155">
        <f t="shared" si="6"/>
        <v>192</v>
      </c>
      <c r="B249" s="18">
        <v>75801</v>
      </c>
      <c r="C249" s="15" t="s">
        <v>45</v>
      </c>
      <c r="D249" s="117"/>
      <c r="E249" s="117"/>
      <c r="F249" s="117"/>
      <c r="G249" s="117"/>
      <c r="H249" s="21"/>
      <c r="I249" s="149"/>
      <c r="J249" s="150"/>
    </row>
    <row r="250" spans="1:10" s="3" customFormat="1" ht="12.75">
      <c r="A250" s="155">
        <f t="shared" si="6"/>
        <v>193</v>
      </c>
      <c r="B250" s="18"/>
      <c r="C250" s="15" t="s">
        <v>46</v>
      </c>
      <c r="D250" s="117">
        <f>D251</f>
        <v>2004076</v>
      </c>
      <c r="E250" s="117">
        <f>E251</f>
        <v>-12682</v>
      </c>
      <c r="F250" s="117">
        <f>F251</f>
        <v>2004076</v>
      </c>
      <c r="G250" s="117">
        <f>G251</f>
        <v>1991394</v>
      </c>
      <c r="H250" s="21">
        <f>H251</f>
        <v>2133508</v>
      </c>
      <c r="I250" s="147">
        <f>G250/F250</f>
        <v>0.9936718966745772</v>
      </c>
      <c r="J250" s="148">
        <f>G250/G$394</f>
        <v>0.07170253232330659</v>
      </c>
    </row>
    <row r="251" spans="1:10" s="6" customFormat="1" ht="12.75">
      <c r="A251" s="155">
        <f t="shared" si="6"/>
        <v>194</v>
      </c>
      <c r="B251" s="19">
        <v>2920</v>
      </c>
      <c r="C251" s="11" t="s">
        <v>27</v>
      </c>
      <c r="D251" s="120">
        <v>2004076</v>
      </c>
      <c r="E251" s="118">
        <f>G251-D251</f>
        <v>-12682</v>
      </c>
      <c r="F251" s="118">
        <v>2004076</v>
      </c>
      <c r="G251" s="120">
        <v>1991394</v>
      </c>
      <c r="H251" s="32">
        <f>2156952-23444</f>
        <v>2133508</v>
      </c>
      <c r="I251" s="149">
        <f>G251/F251</f>
        <v>0.9936718966745772</v>
      </c>
      <c r="J251" s="150">
        <f>G251/G$394</f>
        <v>0.07170253232330659</v>
      </c>
    </row>
    <row r="252" spans="1:10" s="41" customFormat="1" ht="12.75">
      <c r="A252" s="155">
        <f t="shared" si="6"/>
        <v>195</v>
      </c>
      <c r="B252" s="42">
        <v>75807</v>
      </c>
      <c r="C252" s="54" t="s">
        <v>214</v>
      </c>
      <c r="D252" s="114">
        <f>D253</f>
        <v>474802</v>
      </c>
      <c r="E252" s="114"/>
      <c r="F252" s="114">
        <f>F253</f>
        <v>474802</v>
      </c>
      <c r="G252" s="114">
        <f>G253</f>
        <v>0</v>
      </c>
      <c r="H252" s="40"/>
      <c r="I252" s="147">
        <f>G252/F252</f>
        <v>0</v>
      </c>
      <c r="J252" s="148">
        <f>G252/G$394</f>
        <v>0</v>
      </c>
    </row>
    <row r="253" spans="1:10" s="6" customFormat="1" ht="12.75">
      <c r="A253" s="155">
        <f t="shared" si="6"/>
        <v>196</v>
      </c>
      <c r="B253" s="19">
        <v>2920</v>
      </c>
      <c r="C253" s="11" t="s">
        <v>27</v>
      </c>
      <c r="D253" s="120">
        <v>474802</v>
      </c>
      <c r="E253" s="118"/>
      <c r="F253" s="118">
        <v>474802</v>
      </c>
      <c r="G253" s="120">
        <v>0</v>
      </c>
      <c r="H253" s="32"/>
      <c r="I253" s="149">
        <f>G253/F253</f>
        <v>0</v>
      </c>
      <c r="J253" s="150">
        <f>G253/G$394</f>
        <v>0</v>
      </c>
    </row>
    <row r="254" spans="1:10" s="3" customFormat="1" ht="12.75">
      <c r="A254" s="155">
        <f t="shared" si="6"/>
        <v>197</v>
      </c>
      <c r="B254" s="18">
        <v>75814</v>
      </c>
      <c r="C254" s="15" t="s">
        <v>28</v>
      </c>
      <c r="D254" s="117">
        <f>SUM(D257:D263)</f>
        <v>0</v>
      </c>
      <c r="E254" s="117">
        <f>SUM(E257:E262)</f>
        <v>0</v>
      </c>
      <c r="F254" s="117">
        <f>SUM(F257:F263)</f>
        <v>-585.78</v>
      </c>
      <c r="G254" s="117">
        <f>SUM(G257:G263)</f>
        <v>0</v>
      </c>
      <c r="H254" s="21">
        <f>SUM(H257:H262)</f>
        <v>0</v>
      </c>
      <c r="I254" s="147"/>
      <c r="J254" s="148"/>
    </row>
    <row r="255" spans="1:10" s="52" customFormat="1" ht="12.75">
      <c r="A255" s="155">
        <f t="shared" si="6"/>
        <v>198</v>
      </c>
      <c r="B255" s="43" t="s">
        <v>144</v>
      </c>
      <c r="C255" s="7" t="s">
        <v>68</v>
      </c>
      <c r="D255" s="119"/>
      <c r="E255" s="119"/>
      <c r="F255" s="119"/>
      <c r="G255" s="119"/>
      <c r="H255" s="51"/>
      <c r="I255" s="149"/>
      <c r="J255" s="150"/>
    </row>
    <row r="256" spans="1:10" s="52" customFormat="1" ht="12.75">
      <c r="A256" s="155">
        <f t="shared" si="6"/>
        <v>199</v>
      </c>
      <c r="B256" s="43"/>
      <c r="C256" s="7" t="s">
        <v>87</v>
      </c>
      <c r="D256" s="119"/>
      <c r="E256" s="119"/>
      <c r="F256" s="119"/>
      <c r="G256" s="119"/>
      <c r="H256" s="51"/>
      <c r="I256" s="149"/>
      <c r="J256" s="150"/>
    </row>
    <row r="257" spans="1:10" s="52" customFormat="1" ht="12.75">
      <c r="A257" s="155">
        <f aca="true" t="shared" si="11" ref="A257:A328">A256+1</f>
        <v>200</v>
      </c>
      <c r="B257" s="43"/>
      <c r="C257" s="7" t="s">
        <v>69</v>
      </c>
      <c r="D257" s="119">
        <v>0</v>
      </c>
      <c r="E257" s="119">
        <v>0</v>
      </c>
      <c r="F257" s="119">
        <v>0</v>
      </c>
      <c r="G257" s="119">
        <v>0</v>
      </c>
      <c r="H257" s="51">
        <v>0</v>
      </c>
      <c r="I257" s="149"/>
      <c r="J257" s="150"/>
    </row>
    <row r="258" spans="1:10" s="52" customFormat="1" ht="12.75">
      <c r="A258" s="155">
        <f t="shared" si="11"/>
        <v>201</v>
      </c>
      <c r="B258" s="46" t="s">
        <v>149</v>
      </c>
      <c r="C258" s="7" t="s">
        <v>24</v>
      </c>
      <c r="D258" s="119">
        <v>0</v>
      </c>
      <c r="E258" s="119">
        <v>0</v>
      </c>
      <c r="F258" s="119">
        <v>0</v>
      </c>
      <c r="G258" s="119">
        <v>0</v>
      </c>
      <c r="H258" s="51">
        <v>0</v>
      </c>
      <c r="I258" s="149"/>
      <c r="J258" s="150"/>
    </row>
    <row r="259" spans="1:10" s="52" customFormat="1" ht="12.75">
      <c r="A259" s="155">
        <f t="shared" si="11"/>
        <v>202</v>
      </c>
      <c r="B259" s="46" t="s">
        <v>153</v>
      </c>
      <c r="C259" s="45" t="s">
        <v>71</v>
      </c>
      <c r="D259" s="119">
        <v>0</v>
      </c>
      <c r="E259" s="119">
        <v>0</v>
      </c>
      <c r="F259" s="119">
        <v>0</v>
      </c>
      <c r="G259" s="119">
        <v>0</v>
      </c>
      <c r="H259" s="51">
        <v>0</v>
      </c>
      <c r="I259" s="149"/>
      <c r="J259" s="150"/>
    </row>
    <row r="260" spans="1:10" s="52" customFormat="1" ht="12.75">
      <c r="A260" s="155">
        <f t="shared" si="11"/>
        <v>203</v>
      </c>
      <c r="B260" s="46" t="s">
        <v>152</v>
      </c>
      <c r="C260" s="45" t="s">
        <v>99</v>
      </c>
      <c r="D260" s="119">
        <v>0</v>
      </c>
      <c r="E260" s="119"/>
      <c r="F260" s="119">
        <v>0</v>
      </c>
      <c r="G260" s="119">
        <v>0</v>
      </c>
      <c r="H260" s="51"/>
      <c r="I260" s="149"/>
      <c r="J260" s="150"/>
    </row>
    <row r="261" spans="1:10" s="52" customFormat="1" ht="12.75">
      <c r="A261" s="155">
        <f t="shared" si="11"/>
        <v>204</v>
      </c>
      <c r="B261" s="46" t="s">
        <v>136</v>
      </c>
      <c r="C261" s="7" t="s">
        <v>63</v>
      </c>
      <c r="D261" s="119"/>
      <c r="E261" s="119"/>
      <c r="F261" s="119"/>
      <c r="G261" s="119"/>
      <c r="H261" s="51"/>
      <c r="I261" s="149"/>
      <c r="J261" s="150"/>
    </row>
    <row r="262" spans="1:10" s="52" customFormat="1" ht="12.75">
      <c r="A262" s="155">
        <f t="shared" si="11"/>
        <v>205</v>
      </c>
      <c r="B262" s="46"/>
      <c r="C262" s="7" t="s">
        <v>54</v>
      </c>
      <c r="D262" s="119">
        <v>0</v>
      </c>
      <c r="E262" s="119">
        <v>0</v>
      </c>
      <c r="F262" s="119">
        <v>0</v>
      </c>
      <c r="G262" s="119">
        <v>0</v>
      </c>
      <c r="H262" s="51">
        <v>0</v>
      </c>
      <c r="I262" s="149"/>
      <c r="J262" s="150"/>
    </row>
    <row r="263" spans="1:10" s="52" customFormat="1" ht="12.75">
      <c r="A263" s="155">
        <f t="shared" si="11"/>
        <v>206</v>
      </c>
      <c r="B263" s="46">
        <v>2010</v>
      </c>
      <c r="C263" s="7" t="s">
        <v>239</v>
      </c>
      <c r="D263" s="119">
        <v>0</v>
      </c>
      <c r="E263" s="119"/>
      <c r="F263" s="119">
        <v>-585.78</v>
      </c>
      <c r="G263" s="119">
        <v>0</v>
      </c>
      <c r="H263" s="51"/>
      <c r="I263" s="149"/>
      <c r="J263" s="150"/>
    </row>
    <row r="264" spans="1:10" s="41" customFormat="1" ht="12.75">
      <c r="A264" s="155">
        <f t="shared" si="11"/>
        <v>207</v>
      </c>
      <c r="B264" s="42">
        <v>75831</v>
      </c>
      <c r="C264" s="54" t="s">
        <v>215</v>
      </c>
      <c r="D264" s="114">
        <f>D266</f>
        <v>65764</v>
      </c>
      <c r="E264" s="114"/>
      <c r="F264" s="114">
        <f>F266</f>
        <v>65764</v>
      </c>
      <c r="G264" s="114">
        <f>G266</f>
        <v>55082</v>
      </c>
      <c r="H264" s="40"/>
      <c r="I264" s="147">
        <f>G264/F264</f>
        <v>0.8375707073778967</v>
      </c>
      <c r="J264" s="148">
        <f>G264/G$394</f>
        <v>0.0019832935548828477</v>
      </c>
    </row>
    <row r="265" spans="1:10" s="52" customFormat="1" ht="12.75">
      <c r="A265" s="155">
        <f t="shared" si="11"/>
        <v>208</v>
      </c>
      <c r="B265" s="19">
        <v>2920</v>
      </c>
      <c r="C265" s="11" t="s">
        <v>27</v>
      </c>
      <c r="D265" s="119"/>
      <c r="E265" s="119"/>
      <c r="F265" s="119"/>
      <c r="G265" s="119"/>
      <c r="H265" s="51"/>
      <c r="I265" s="149"/>
      <c r="J265" s="150"/>
    </row>
    <row r="266" spans="1:10" s="52" customFormat="1" ht="12.75">
      <c r="A266" s="155">
        <f t="shared" si="11"/>
        <v>209</v>
      </c>
      <c r="B266" s="46"/>
      <c r="C266" s="44" t="s">
        <v>216</v>
      </c>
      <c r="D266" s="119">
        <v>65764</v>
      </c>
      <c r="E266" s="119"/>
      <c r="F266" s="119">
        <v>65764</v>
      </c>
      <c r="G266" s="119">
        <v>55082</v>
      </c>
      <c r="H266" s="51"/>
      <c r="I266" s="149">
        <f>G266/F266</f>
        <v>0.8375707073778967</v>
      </c>
      <c r="J266" s="150">
        <f>G266/G$394</f>
        <v>0.0019832935548828477</v>
      </c>
    </row>
    <row r="267" spans="1:10" s="52" customFormat="1" ht="12.75">
      <c r="A267" s="155"/>
      <c r="B267" s="46"/>
      <c r="C267" s="44"/>
      <c r="D267" s="119"/>
      <c r="E267" s="119"/>
      <c r="F267" s="119"/>
      <c r="G267" s="119"/>
      <c r="H267" s="51"/>
      <c r="I267" s="149"/>
      <c r="J267" s="150"/>
    </row>
    <row r="268" spans="1:10" s="52" customFormat="1" ht="12.75">
      <c r="A268" s="155"/>
      <c r="B268" s="46"/>
      <c r="C268" s="44"/>
      <c r="D268" s="119"/>
      <c r="E268" s="119"/>
      <c r="F268" s="119"/>
      <c r="G268" s="119"/>
      <c r="H268" s="51"/>
      <c r="I268" s="149"/>
      <c r="J268" s="150"/>
    </row>
    <row r="269" spans="1:10" s="52" customFormat="1" ht="12.75">
      <c r="A269" s="155"/>
      <c r="B269" s="46"/>
      <c r="C269" s="44"/>
      <c r="D269" s="119"/>
      <c r="E269" s="119"/>
      <c r="F269" s="119"/>
      <c r="G269" s="119"/>
      <c r="H269" s="51"/>
      <c r="I269" s="149"/>
      <c r="J269" s="150"/>
    </row>
    <row r="270" spans="1:10" s="52" customFormat="1" ht="12.75">
      <c r="A270" s="155"/>
      <c r="B270" s="46"/>
      <c r="C270" s="44"/>
      <c r="D270" s="119"/>
      <c r="E270" s="119"/>
      <c r="F270" s="119"/>
      <c r="G270" s="119"/>
      <c r="H270" s="51"/>
      <c r="I270" s="149"/>
      <c r="J270" s="150"/>
    </row>
    <row r="271" spans="1:10" s="52" customFormat="1" ht="12.75">
      <c r="A271" s="155"/>
      <c r="B271" s="46"/>
      <c r="C271" s="44"/>
      <c r="D271" s="119"/>
      <c r="E271" s="119"/>
      <c r="F271" s="119"/>
      <c r="G271" s="119"/>
      <c r="H271" s="51"/>
      <c r="I271" s="149"/>
      <c r="J271" s="150"/>
    </row>
    <row r="272" spans="1:10" s="52" customFormat="1" ht="12.75">
      <c r="A272" s="155"/>
      <c r="B272" s="46"/>
      <c r="C272" s="44"/>
      <c r="D272" s="119"/>
      <c r="E272" s="119"/>
      <c r="F272" s="119"/>
      <c r="G272" s="119"/>
      <c r="H272" s="51"/>
      <c r="I272" s="149"/>
      <c r="J272" s="150"/>
    </row>
    <row r="273" spans="1:10" s="52" customFormat="1" ht="12.75">
      <c r="A273" s="155"/>
      <c r="B273" s="46"/>
      <c r="C273" s="44"/>
      <c r="D273" s="119"/>
      <c r="E273" s="119"/>
      <c r="F273" s="119"/>
      <c r="G273" s="119"/>
      <c r="H273" s="51"/>
      <c r="I273" s="149"/>
      <c r="J273" s="150"/>
    </row>
    <row r="274" spans="1:10" s="4" customFormat="1" ht="15">
      <c r="A274" s="155">
        <f>A266+1</f>
        <v>210</v>
      </c>
      <c r="B274" s="12">
        <v>801</v>
      </c>
      <c r="C274" s="16" t="s">
        <v>14</v>
      </c>
      <c r="D274" s="113">
        <f>D275+D299+D308+D317</f>
        <v>545482</v>
      </c>
      <c r="E274" s="113" t="e">
        <f>E275+E308+#REF!</f>
        <v>#REF!</v>
      </c>
      <c r="F274" s="113">
        <f>F275+F299+F308+F317</f>
        <v>531290</v>
      </c>
      <c r="G274" s="113">
        <f>G275+G299+G308+G317</f>
        <v>529686</v>
      </c>
      <c r="H274" s="20" t="e">
        <f>H275+#REF!+H308+#REF!</f>
        <v>#REF!</v>
      </c>
      <c r="I274" s="137">
        <f>G274/F274</f>
        <v>0.9969809332003238</v>
      </c>
      <c r="J274" s="138">
        <f>G274/G$394</f>
        <v>0.019071980500193823</v>
      </c>
    </row>
    <row r="275" spans="1:10" s="3" customFormat="1" ht="12.75">
      <c r="A275" s="155">
        <f t="shared" si="11"/>
        <v>211</v>
      </c>
      <c r="B275" s="14">
        <v>80101</v>
      </c>
      <c r="C275" s="15" t="s">
        <v>15</v>
      </c>
      <c r="D275" s="117">
        <f>D276+D280+D284+D288+D289+D290+D296+D298</f>
        <v>188202</v>
      </c>
      <c r="E275" s="117" t="e">
        <f>E276+E280+E284+E288+#REF!+E290</f>
        <v>#REF!</v>
      </c>
      <c r="F275" s="117">
        <f>F276+F280+F284+F288+F289+F290+F296+F298</f>
        <v>188211</v>
      </c>
      <c r="G275" s="117">
        <f>G276+G280+G284+G288+G289+G290+G296+G298</f>
        <v>160086</v>
      </c>
      <c r="H275" s="21" t="e">
        <f>H276+H280+H284+H288+#REF!+H290</f>
        <v>#REF!</v>
      </c>
      <c r="I275" s="147">
        <f>G275/F275</f>
        <v>0.850566651258428</v>
      </c>
      <c r="J275" s="148">
        <f>G275/G$394</f>
        <v>0.0057640886682940986</v>
      </c>
    </row>
    <row r="276" spans="1:10" s="52" customFormat="1" ht="12.75">
      <c r="A276" s="155">
        <f t="shared" si="11"/>
        <v>212</v>
      </c>
      <c r="B276" s="46" t="s">
        <v>131</v>
      </c>
      <c r="C276" s="45" t="s">
        <v>218</v>
      </c>
      <c r="D276" s="119">
        <v>100</v>
      </c>
      <c r="E276" s="119">
        <v>0</v>
      </c>
      <c r="F276" s="119">
        <v>56</v>
      </c>
      <c r="G276" s="119">
        <v>100</v>
      </c>
      <c r="H276" s="51">
        <v>100</v>
      </c>
      <c r="I276" s="149">
        <f>G276/F276</f>
        <v>1.7857142857142858</v>
      </c>
      <c r="J276" s="150">
        <f>G276/G$394</f>
        <v>3.600620084388453E-06</v>
      </c>
    </row>
    <row r="277" spans="1:10" ht="12.75">
      <c r="A277" s="155">
        <f t="shared" si="11"/>
        <v>213</v>
      </c>
      <c r="B277" s="43" t="s">
        <v>138</v>
      </c>
      <c r="C277" s="7" t="s">
        <v>55</v>
      </c>
      <c r="D277" s="118"/>
      <c r="E277" s="118"/>
      <c r="F277" s="118"/>
      <c r="G277" s="118"/>
      <c r="H277" s="27"/>
      <c r="I277" s="149"/>
      <c r="J277" s="150"/>
    </row>
    <row r="278" spans="1:10" ht="12.75">
      <c r="A278" s="155">
        <f t="shared" si="11"/>
        <v>214</v>
      </c>
      <c r="B278" s="43"/>
      <c r="C278" s="44" t="s">
        <v>124</v>
      </c>
      <c r="D278" s="118"/>
      <c r="E278" s="118"/>
      <c r="F278" s="118"/>
      <c r="G278" s="118"/>
      <c r="H278" s="27"/>
      <c r="I278" s="149"/>
      <c r="J278" s="150"/>
    </row>
    <row r="279" spans="1:10" ht="12.75">
      <c r="A279" s="155">
        <f t="shared" si="11"/>
        <v>215</v>
      </c>
      <c r="B279" s="43"/>
      <c r="C279" s="7" t="s">
        <v>125</v>
      </c>
      <c r="D279" s="118"/>
      <c r="E279" s="118"/>
      <c r="F279" s="118"/>
      <c r="G279" s="118"/>
      <c r="H279" s="27"/>
      <c r="I279" s="149"/>
      <c r="J279" s="150"/>
    </row>
    <row r="280" spans="1:10" ht="12.75">
      <c r="A280" s="155">
        <f t="shared" si="11"/>
        <v>216</v>
      </c>
      <c r="B280" s="43"/>
      <c r="C280" s="7" t="s">
        <v>126</v>
      </c>
      <c r="D280" s="118">
        <f>SUM(D282:D283)</f>
        <v>20300</v>
      </c>
      <c r="E280" s="118">
        <f>SUM(E282:E283)</f>
        <v>0</v>
      </c>
      <c r="F280" s="118">
        <f>SUM(F282:F283)</f>
        <v>20300</v>
      </c>
      <c r="G280" s="118">
        <f>SUM(G282:G283)</f>
        <v>20300</v>
      </c>
      <c r="H280" s="27">
        <f>SUM(H282:H283)</f>
        <v>13400</v>
      </c>
      <c r="I280" s="149">
        <f>G280/F280</f>
        <v>1</v>
      </c>
      <c r="J280" s="150">
        <f>G280/G$394</f>
        <v>0.000730925877130856</v>
      </c>
    </row>
    <row r="281" spans="1:10" ht="12.75">
      <c r="A281" s="155">
        <f t="shared" si="11"/>
        <v>217</v>
      </c>
      <c r="B281" s="7"/>
      <c r="C281" s="7" t="s">
        <v>9</v>
      </c>
      <c r="D281" s="118"/>
      <c r="E281" s="118"/>
      <c r="F281" s="118"/>
      <c r="G281" s="118"/>
      <c r="H281" s="27"/>
      <c r="I281" s="149"/>
      <c r="J281" s="150"/>
    </row>
    <row r="282" spans="1:10" ht="12.75">
      <c r="A282" s="155">
        <f t="shared" si="11"/>
        <v>218</v>
      </c>
      <c r="B282" s="7"/>
      <c r="C282" s="7" t="s">
        <v>79</v>
      </c>
      <c r="D282" s="118">
        <v>8000</v>
      </c>
      <c r="E282" s="119">
        <v>0</v>
      </c>
      <c r="F282" s="119">
        <v>8000</v>
      </c>
      <c r="G282" s="118">
        <v>8000</v>
      </c>
      <c r="H282" s="27">
        <v>6300</v>
      </c>
      <c r="I282" s="149">
        <f>G282/F282</f>
        <v>1</v>
      </c>
      <c r="J282" s="150">
        <f>G282/G$394</f>
        <v>0.00028804960675107627</v>
      </c>
    </row>
    <row r="283" spans="1:10" ht="12.75">
      <c r="A283" s="155">
        <f t="shared" si="11"/>
        <v>219</v>
      </c>
      <c r="B283" s="7"/>
      <c r="C283" s="7" t="s">
        <v>80</v>
      </c>
      <c r="D283" s="118">
        <v>12300</v>
      </c>
      <c r="E283" s="119">
        <v>0</v>
      </c>
      <c r="F283" s="119">
        <v>12300</v>
      </c>
      <c r="G283" s="118">
        <v>12300</v>
      </c>
      <c r="H283" s="27">
        <v>7100</v>
      </c>
      <c r="I283" s="149">
        <f>G283/F283</f>
        <v>1</v>
      </c>
      <c r="J283" s="150">
        <f>G283/G$394</f>
        <v>0.00044287627037977974</v>
      </c>
    </row>
    <row r="284" spans="1:10" ht="12.75">
      <c r="A284" s="155">
        <f t="shared" si="11"/>
        <v>220</v>
      </c>
      <c r="B284" s="43" t="s">
        <v>141</v>
      </c>
      <c r="C284" s="7" t="s">
        <v>11</v>
      </c>
      <c r="D284" s="118">
        <f>SUM(D286:D287)</f>
        <v>133360</v>
      </c>
      <c r="E284" s="118">
        <f>SUM(E286:E287)</f>
        <v>0</v>
      </c>
      <c r="F284" s="118">
        <f>SUM(F286:F287)</f>
        <v>133360</v>
      </c>
      <c r="G284" s="118">
        <f>SUM(G286:G287)</f>
        <v>133560</v>
      </c>
      <c r="H284" s="27">
        <f>SUM(H286:H287)</f>
        <v>115800</v>
      </c>
      <c r="I284" s="149">
        <f>G284/F284</f>
        <v>1.001499700059988</v>
      </c>
      <c r="J284" s="150">
        <f>G284/G$394</f>
        <v>0.004808988184709218</v>
      </c>
    </row>
    <row r="285" spans="1:10" ht="12.75">
      <c r="A285" s="155">
        <f t="shared" si="11"/>
        <v>221</v>
      </c>
      <c r="B285" s="43"/>
      <c r="C285" s="7" t="s">
        <v>9</v>
      </c>
      <c r="D285" s="118"/>
      <c r="E285" s="118"/>
      <c r="F285" s="118"/>
      <c r="G285" s="118"/>
      <c r="H285" s="27"/>
      <c r="I285" s="149"/>
      <c r="J285" s="150"/>
    </row>
    <row r="286" spans="1:10" ht="12.75">
      <c r="A286" s="155">
        <f t="shared" si="11"/>
        <v>222</v>
      </c>
      <c r="B286" s="43"/>
      <c r="C286" s="7" t="s">
        <v>79</v>
      </c>
      <c r="D286" s="118">
        <v>101500</v>
      </c>
      <c r="E286" s="119">
        <v>0</v>
      </c>
      <c r="F286" s="119">
        <v>101500</v>
      </c>
      <c r="G286" s="118">
        <f>5200+96500</f>
        <v>101700</v>
      </c>
      <c r="H286" s="27">
        <v>77100</v>
      </c>
      <c r="I286" s="149">
        <f>G286/F286</f>
        <v>1.0019704433497536</v>
      </c>
      <c r="J286" s="150">
        <f>G286/G$394</f>
        <v>0.0036618306258230566</v>
      </c>
    </row>
    <row r="287" spans="1:10" ht="12.75">
      <c r="A287" s="155">
        <f t="shared" si="11"/>
        <v>223</v>
      </c>
      <c r="B287" s="43"/>
      <c r="C287" s="7" t="s">
        <v>80</v>
      </c>
      <c r="D287" s="118">
        <v>31860</v>
      </c>
      <c r="E287" s="119">
        <v>0</v>
      </c>
      <c r="F287" s="119">
        <v>31860</v>
      </c>
      <c r="G287" s="118">
        <v>31860</v>
      </c>
      <c r="H287" s="27">
        <v>38700</v>
      </c>
      <c r="I287" s="149">
        <f>G287/F287</f>
        <v>1</v>
      </c>
      <c r="J287" s="150">
        <f>G287/G$394</f>
        <v>0.001147157558886161</v>
      </c>
    </row>
    <row r="288" spans="1:10" ht="12.75">
      <c r="A288" s="155">
        <f t="shared" si="11"/>
        <v>224</v>
      </c>
      <c r="B288" s="43" t="s">
        <v>142</v>
      </c>
      <c r="C288" s="7" t="s">
        <v>240</v>
      </c>
      <c r="D288" s="118">
        <v>600</v>
      </c>
      <c r="E288" s="119">
        <v>0</v>
      </c>
      <c r="F288" s="119">
        <v>900</v>
      </c>
      <c r="G288" s="118">
        <v>600</v>
      </c>
      <c r="H288" s="27">
        <v>1000</v>
      </c>
      <c r="I288" s="149">
        <f>G288/F288</f>
        <v>0.6666666666666666</v>
      </c>
      <c r="J288" s="150">
        <f>G288/G$394</f>
        <v>2.1603720506330718E-05</v>
      </c>
    </row>
    <row r="289" spans="1:10" ht="12.75">
      <c r="A289" s="155">
        <f t="shared" si="11"/>
        <v>225</v>
      </c>
      <c r="B289" s="43" t="s">
        <v>157</v>
      </c>
      <c r="C289" s="7" t="s">
        <v>207</v>
      </c>
      <c r="D289" s="118">
        <v>0</v>
      </c>
      <c r="E289" s="119"/>
      <c r="F289" s="119">
        <v>0</v>
      </c>
      <c r="G289" s="118">
        <v>0</v>
      </c>
      <c r="H289" s="27"/>
      <c r="I289" s="149"/>
      <c r="J289" s="150">
        <f>G289/G$394</f>
        <v>0</v>
      </c>
    </row>
    <row r="290" spans="1:10" ht="12.75">
      <c r="A290" s="155">
        <f t="shared" si="11"/>
        <v>226</v>
      </c>
      <c r="B290" s="43" t="s">
        <v>134</v>
      </c>
      <c r="C290" s="7" t="s">
        <v>52</v>
      </c>
      <c r="D290" s="118">
        <f>SUM(D292:D293)</f>
        <v>6523</v>
      </c>
      <c r="E290" s="119">
        <v>0</v>
      </c>
      <c r="F290" s="118">
        <f>SUM(F292:F293)</f>
        <v>6276</v>
      </c>
      <c r="G290" s="118">
        <f>SUM(G292:G293)</f>
        <v>600</v>
      </c>
      <c r="H290" s="27">
        <v>0</v>
      </c>
      <c r="I290" s="149">
        <f>G290/F290</f>
        <v>0.09560229445506692</v>
      </c>
      <c r="J290" s="150">
        <f>G290/G$394</f>
        <v>2.1603720506330718E-05</v>
      </c>
    </row>
    <row r="291" spans="1:10" ht="12.75">
      <c r="A291" s="155">
        <f t="shared" si="11"/>
        <v>227</v>
      </c>
      <c r="B291" s="43"/>
      <c r="C291" s="7" t="s">
        <v>9</v>
      </c>
      <c r="D291" s="118"/>
      <c r="E291" s="119"/>
      <c r="F291" s="119"/>
      <c r="G291" s="118"/>
      <c r="H291" s="27"/>
      <c r="I291" s="149"/>
      <c r="J291" s="150"/>
    </row>
    <row r="292" spans="1:10" ht="12.75">
      <c r="A292" s="155">
        <f t="shared" si="11"/>
        <v>228</v>
      </c>
      <c r="B292" s="43"/>
      <c r="C292" s="7" t="s">
        <v>79</v>
      </c>
      <c r="D292" s="118">
        <v>6423</v>
      </c>
      <c r="E292" s="119"/>
      <c r="F292" s="119">
        <v>6184</v>
      </c>
      <c r="G292" s="118">
        <v>500</v>
      </c>
      <c r="H292" s="27"/>
      <c r="I292" s="149">
        <f>G292/F292</f>
        <v>0.08085381630012936</v>
      </c>
      <c r="J292" s="150">
        <f>G292/G$394</f>
        <v>1.8003100421942267E-05</v>
      </c>
    </row>
    <row r="293" spans="1:10" ht="12.75">
      <c r="A293" s="155">
        <f t="shared" si="11"/>
        <v>229</v>
      </c>
      <c r="B293" s="43"/>
      <c r="C293" s="7" t="s">
        <v>80</v>
      </c>
      <c r="D293" s="118">
        <v>100</v>
      </c>
      <c r="E293" s="119"/>
      <c r="F293" s="119">
        <v>92</v>
      </c>
      <c r="G293" s="118">
        <v>100</v>
      </c>
      <c r="H293" s="27"/>
      <c r="I293" s="149">
        <f>G293/F293</f>
        <v>1.0869565217391304</v>
      </c>
      <c r="J293" s="150">
        <f>G293/G$394</f>
        <v>3.600620084388453E-06</v>
      </c>
    </row>
    <row r="294" spans="1:10" ht="12.75">
      <c r="A294" s="155">
        <f t="shared" si="11"/>
        <v>230</v>
      </c>
      <c r="B294" s="46">
        <v>2030</v>
      </c>
      <c r="C294" s="45" t="s">
        <v>76</v>
      </c>
      <c r="D294" s="118"/>
      <c r="E294" s="119"/>
      <c r="F294" s="119"/>
      <c r="G294" s="118"/>
      <c r="H294" s="27"/>
      <c r="I294" s="149"/>
      <c r="J294" s="150"/>
    </row>
    <row r="295" spans="1:10" ht="12.75">
      <c r="A295" s="155">
        <f t="shared" si="11"/>
        <v>231</v>
      </c>
      <c r="B295" s="46"/>
      <c r="C295" s="45" t="s">
        <v>160</v>
      </c>
      <c r="D295" s="118"/>
      <c r="E295" s="119"/>
      <c r="F295" s="119"/>
      <c r="G295" s="118"/>
      <c r="H295" s="27"/>
      <c r="I295" s="149"/>
      <c r="J295" s="150"/>
    </row>
    <row r="296" spans="1:10" ht="12.75">
      <c r="A296" s="155">
        <f t="shared" si="11"/>
        <v>232</v>
      </c>
      <c r="B296" s="46"/>
      <c r="C296" s="45" t="s">
        <v>246</v>
      </c>
      <c r="D296" s="118">
        <f>1133+4386</f>
        <v>5519</v>
      </c>
      <c r="E296" s="119"/>
      <c r="F296" s="119">
        <f>1133+4386</f>
        <v>5519</v>
      </c>
      <c r="G296" s="118">
        <v>0</v>
      </c>
      <c r="H296" s="27"/>
      <c r="I296" s="149"/>
      <c r="J296" s="150">
        <f>G296/G$394</f>
        <v>0</v>
      </c>
    </row>
    <row r="297" spans="1:10" ht="12.75">
      <c r="A297" s="155">
        <f t="shared" si="11"/>
        <v>233</v>
      </c>
      <c r="B297" s="46">
        <v>2707</v>
      </c>
      <c r="C297" s="45" t="s">
        <v>241</v>
      </c>
      <c r="D297" s="118"/>
      <c r="E297" s="119"/>
      <c r="F297" s="119"/>
      <c r="G297" s="118"/>
      <c r="H297" s="27"/>
      <c r="I297" s="149"/>
      <c r="J297" s="150"/>
    </row>
    <row r="298" spans="1:10" ht="12.75">
      <c r="A298" s="155">
        <f t="shared" si="11"/>
        <v>234</v>
      </c>
      <c r="B298" s="46"/>
      <c r="C298" s="45" t="s">
        <v>242</v>
      </c>
      <c r="D298" s="118">
        <v>21800</v>
      </c>
      <c r="E298" s="119"/>
      <c r="F298" s="119">
        <v>21800</v>
      </c>
      <c r="G298" s="118">
        <v>4926</v>
      </c>
      <c r="H298" s="27"/>
      <c r="I298" s="149">
        <f>G298/F298</f>
        <v>0.22596330275229357</v>
      </c>
      <c r="J298" s="150">
        <f>G298/G$394</f>
        <v>0.0001773665453569752</v>
      </c>
    </row>
    <row r="299" spans="1:10" ht="12.75">
      <c r="A299" s="155">
        <f t="shared" si="11"/>
        <v>235</v>
      </c>
      <c r="B299" s="18">
        <v>80104</v>
      </c>
      <c r="C299" s="15" t="s">
        <v>101</v>
      </c>
      <c r="D299" s="114">
        <f>SUM(D300:D307)</f>
        <v>251980</v>
      </c>
      <c r="E299" s="114">
        <f>SUM(E300:E307)</f>
        <v>0</v>
      </c>
      <c r="F299" s="114">
        <f>SUM(F300:F307)</f>
        <v>254820</v>
      </c>
      <c r="G299" s="114">
        <f>SUM(G300:G307)</f>
        <v>273500</v>
      </c>
      <c r="H299" s="27"/>
      <c r="I299" s="137">
        <f>G299/F299</f>
        <v>1.0733066478298408</v>
      </c>
      <c r="J299" s="138">
        <f>G299/G$394</f>
        <v>0.00984769593080242</v>
      </c>
    </row>
    <row r="300" spans="1:10" ht="12.75">
      <c r="A300" s="155">
        <f t="shared" si="11"/>
        <v>236</v>
      </c>
      <c r="B300" s="43" t="s">
        <v>131</v>
      </c>
      <c r="C300" s="7" t="s">
        <v>56</v>
      </c>
      <c r="D300" s="118">
        <v>118000</v>
      </c>
      <c r="E300" s="119"/>
      <c r="F300" s="119">
        <v>118000</v>
      </c>
      <c r="G300" s="118">
        <v>148000</v>
      </c>
      <c r="H300" s="27"/>
      <c r="I300" s="149">
        <f>G300/F300</f>
        <v>1.2542372881355932</v>
      </c>
      <c r="J300" s="150">
        <f>G300/G$394</f>
        <v>0.0053289177248949104</v>
      </c>
    </row>
    <row r="301" spans="1:10" ht="12.75">
      <c r="A301" s="155">
        <f t="shared" si="11"/>
        <v>237</v>
      </c>
      <c r="B301" s="43" t="s">
        <v>138</v>
      </c>
      <c r="C301" s="7" t="s">
        <v>55</v>
      </c>
      <c r="D301" s="118"/>
      <c r="E301" s="119"/>
      <c r="F301" s="119"/>
      <c r="G301" s="118"/>
      <c r="H301" s="27"/>
      <c r="I301" s="149"/>
      <c r="J301" s="150"/>
    </row>
    <row r="302" spans="1:10" ht="12.75">
      <c r="A302" s="155">
        <f t="shared" si="11"/>
        <v>238</v>
      </c>
      <c r="B302" s="43"/>
      <c r="C302" s="44" t="s">
        <v>124</v>
      </c>
      <c r="D302" s="118"/>
      <c r="E302" s="119"/>
      <c r="F302" s="119"/>
      <c r="G302" s="118"/>
      <c r="H302" s="27"/>
      <c r="I302" s="149"/>
      <c r="J302" s="150"/>
    </row>
    <row r="303" spans="1:10" ht="12.75">
      <c r="A303" s="155">
        <f t="shared" si="11"/>
        <v>239</v>
      </c>
      <c r="B303" s="43"/>
      <c r="C303" s="7" t="s">
        <v>125</v>
      </c>
      <c r="D303" s="118"/>
      <c r="E303" s="119"/>
      <c r="F303" s="119"/>
      <c r="G303" s="118"/>
      <c r="H303" s="27"/>
      <c r="I303" s="149"/>
      <c r="J303" s="150"/>
    </row>
    <row r="304" spans="1:10" ht="12.75">
      <c r="A304" s="155">
        <f t="shared" si="11"/>
        <v>240</v>
      </c>
      <c r="B304" s="43"/>
      <c r="C304" s="7" t="s">
        <v>128</v>
      </c>
      <c r="D304" s="118">
        <v>35000</v>
      </c>
      <c r="E304" s="119"/>
      <c r="F304" s="119">
        <v>37605</v>
      </c>
      <c r="G304" s="118">
        <v>1080</v>
      </c>
      <c r="H304" s="27"/>
      <c r="I304" s="149">
        <f>G304/F304</f>
        <v>0.028719585161547666</v>
      </c>
      <c r="J304" s="150">
        <f aca="true" t="shared" si="12" ref="J304:J309">G304/G$394</f>
        <v>3.888669691139529E-05</v>
      </c>
    </row>
    <row r="305" spans="1:10" ht="12.75">
      <c r="A305" s="155">
        <f t="shared" si="11"/>
        <v>241</v>
      </c>
      <c r="B305" s="43" t="s">
        <v>141</v>
      </c>
      <c r="C305" s="7" t="s">
        <v>11</v>
      </c>
      <c r="D305" s="118">
        <v>98840</v>
      </c>
      <c r="E305" s="119"/>
      <c r="F305" s="119">
        <v>98840</v>
      </c>
      <c r="G305" s="118">
        <v>123680</v>
      </c>
      <c r="H305" s="27"/>
      <c r="I305" s="149">
        <f>G305/F305</f>
        <v>1.2513152569809793</v>
      </c>
      <c r="J305" s="150">
        <f t="shared" si="12"/>
        <v>0.004453246920371638</v>
      </c>
    </row>
    <row r="306" spans="1:10" ht="12.75">
      <c r="A306" s="155"/>
      <c r="B306" s="43" t="s">
        <v>142</v>
      </c>
      <c r="C306" s="7" t="s">
        <v>67</v>
      </c>
      <c r="D306" s="118">
        <v>0</v>
      </c>
      <c r="E306" s="119"/>
      <c r="F306" s="119">
        <v>0</v>
      </c>
      <c r="G306" s="118">
        <v>600</v>
      </c>
      <c r="H306" s="27"/>
      <c r="I306" s="149"/>
      <c r="J306" s="150">
        <f t="shared" si="12"/>
        <v>2.1603720506330718E-05</v>
      </c>
    </row>
    <row r="307" spans="1:10" ht="12.75">
      <c r="A307" s="155">
        <f>A305+1</f>
        <v>242</v>
      </c>
      <c r="B307" s="43" t="s">
        <v>134</v>
      </c>
      <c r="C307" s="7" t="s">
        <v>52</v>
      </c>
      <c r="D307" s="118">
        <v>140</v>
      </c>
      <c r="E307" s="119"/>
      <c r="F307" s="119">
        <v>375</v>
      </c>
      <c r="G307" s="118">
        <v>140</v>
      </c>
      <c r="H307" s="27"/>
      <c r="I307" s="149">
        <f>G307/F307</f>
        <v>0.37333333333333335</v>
      </c>
      <c r="J307" s="150">
        <f t="shared" si="12"/>
        <v>5.040868118143834E-06</v>
      </c>
    </row>
    <row r="308" spans="1:10" s="3" customFormat="1" ht="12.75">
      <c r="A308" s="155">
        <f t="shared" si="11"/>
        <v>243</v>
      </c>
      <c r="B308" s="18">
        <v>80110</v>
      </c>
      <c r="C308" s="15" t="s">
        <v>16</v>
      </c>
      <c r="D308" s="117">
        <f>SUM(D309:D316)</f>
        <v>104900</v>
      </c>
      <c r="E308" s="117">
        <f>SUM(E313:E316)</f>
        <v>0</v>
      </c>
      <c r="F308" s="117">
        <f>SUM(F309:F316)</f>
        <v>87859</v>
      </c>
      <c r="G308" s="117">
        <f>SUM(G309:G316)</f>
        <v>96100</v>
      </c>
      <c r="H308" s="21">
        <f>SUM(H313:H314)</f>
        <v>109300</v>
      </c>
      <c r="I308" s="137">
        <f>G308/F308</f>
        <v>1.0937980172776836</v>
      </c>
      <c r="J308" s="138">
        <f t="shared" si="12"/>
        <v>0.0034601959010973032</v>
      </c>
    </row>
    <row r="309" spans="1:10" s="52" customFormat="1" ht="12.75">
      <c r="A309" s="155">
        <f t="shared" si="11"/>
        <v>244</v>
      </c>
      <c r="B309" s="46" t="s">
        <v>131</v>
      </c>
      <c r="C309" s="45" t="s">
        <v>56</v>
      </c>
      <c r="D309" s="119">
        <v>0</v>
      </c>
      <c r="E309" s="119"/>
      <c r="F309" s="119">
        <v>174</v>
      </c>
      <c r="G309" s="119">
        <v>0</v>
      </c>
      <c r="H309" s="51"/>
      <c r="I309" s="149"/>
      <c r="J309" s="150">
        <f t="shared" si="12"/>
        <v>0</v>
      </c>
    </row>
    <row r="310" spans="1:10" ht="12.75">
      <c r="A310" s="155">
        <f t="shared" si="11"/>
        <v>245</v>
      </c>
      <c r="B310" s="43" t="s">
        <v>138</v>
      </c>
      <c r="C310" s="7" t="s">
        <v>55</v>
      </c>
      <c r="D310" s="118"/>
      <c r="E310" s="118"/>
      <c r="F310" s="118"/>
      <c r="G310" s="118"/>
      <c r="H310" s="27"/>
      <c r="I310" s="149"/>
      <c r="J310" s="150"/>
    </row>
    <row r="311" spans="1:10" ht="12.75">
      <c r="A311" s="155">
        <f t="shared" si="11"/>
        <v>246</v>
      </c>
      <c r="B311" s="43"/>
      <c r="C311" s="44" t="s">
        <v>124</v>
      </c>
      <c r="D311" s="118"/>
      <c r="E311" s="118"/>
      <c r="F311" s="118"/>
      <c r="G311" s="118"/>
      <c r="H311" s="27"/>
      <c r="I311" s="149"/>
      <c r="J311" s="150"/>
    </row>
    <row r="312" spans="1:10" ht="12.75">
      <c r="A312" s="155">
        <f t="shared" si="11"/>
        <v>247</v>
      </c>
      <c r="B312" s="43"/>
      <c r="C312" s="7" t="s">
        <v>125</v>
      </c>
      <c r="D312" s="118"/>
      <c r="E312" s="118"/>
      <c r="F312" s="118"/>
      <c r="G312" s="118"/>
      <c r="H312" s="27"/>
      <c r="I312" s="149"/>
      <c r="J312" s="150"/>
    </row>
    <row r="313" spans="1:10" ht="12.75">
      <c r="A313" s="155">
        <f t="shared" si="11"/>
        <v>248</v>
      </c>
      <c r="B313" s="43"/>
      <c r="C313" s="7" t="s">
        <v>126</v>
      </c>
      <c r="D313" s="118">
        <v>11000</v>
      </c>
      <c r="E313" s="118">
        <v>0</v>
      </c>
      <c r="F313" s="118">
        <v>11000</v>
      </c>
      <c r="G313" s="118">
        <v>11000</v>
      </c>
      <c r="H313" s="27">
        <v>9400</v>
      </c>
      <c r="I313" s="149">
        <f>G313/F313</f>
        <v>1</v>
      </c>
      <c r="J313" s="150">
        <f>G313/G$394</f>
        <v>0.00039606820928272983</v>
      </c>
    </row>
    <row r="314" spans="1:10" ht="12.75">
      <c r="A314" s="155">
        <f t="shared" si="11"/>
        <v>249</v>
      </c>
      <c r="B314" s="43" t="s">
        <v>141</v>
      </c>
      <c r="C314" s="7" t="s">
        <v>11</v>
      </c>
      <c r="D314" s="118">
        <f>92500-500</f>
        <v>92000</v>
      </c>
      <c r="E314" s="118">
        <v>0</v>
      </c>
      <c r="F314" s="118">
        <v>75000</v>
      </c>
      <c r="G314" s="118">
        <v>85100</v>
      </c>
      <c r="H314" s="27">
        <v>99900</v>
      </c>
      <c r="I314" s="149">
        <f>G314/F314</f>
        <v>1.1346666666666667</v>
      </c>
      <c r="J314" s="150">
        <f>G314/G$394</f>
        <v>0.0030641276918145733</v>
      </c>
    </row>
    <row r="315" spans="1:10" ht="12.75">
      <c r="A315" s="155">
        <f t="shared" si="11"/>
        <v>250</v>
      </c>
      <c r="B315" s="43" t="s">
        <v>142</v>
      </c>
      <c r="C315" s="7" t="s">
        <v>67</v>
      </c>
      <c r="D315" s="118">
        <v>600</v>
      </c>
      <c r="E315" s="118"/>
      <c r="F315" s="118">
        <v>600</v>
      </c>
      <c r="G315" s="118">
        <v>0</v>
      </c>
      <c r="H315" s="27"/>
      <c r="I315" s="149"/>
      <c r="J315" s="150"/>
    </row>
    <row r="316" spans="1:10" ht="12.75">
      <c r="A316" s="155">
        <f t="shared" si="11"/>
        <v>251</v>
      </c>
      <c r="B316" s="43" t="s">
        <v>134</v>
      </c>
      <c r="C316" s="7" t="s">
        <v>52</v>
      </c>
      <c r="D316" s="118">
        <v>1300</v>
      </c>
      <c r="E316" s="118"/>
      <c r="F316" s="118">
        <v>1085</v>
      </c>
      <c r="G316" s="118">
        <v>0</v>
      </c>
      <c r="H316" s="27"/>
      <c r="I316" s="149"/>
      <c r="J316" s="150">
        <f>G316/G$394</f>
        <v>0</v>
      </c>
    </row>
    <row r="317" spans="1:10" s="41" customFormat="1" ht="12.75">
      <c r="A317" s="155">
        <f t="shared" si="11"/>
        <v>252</v>
      </c>
      <c r="B317" s="42">
        <v>80195</v>
      </c>
      <c r="C317" s="39" t="s">
        <v>8</v>
      </c>
      <c r="D317" s="114">
        <f>D320</f>
        <v>400</v>
      </c>
      <c r="E317" s="114"/>
      <c r="F317" s="114">
        <f>F320</f>
        <v>400</v>
      </c>
      <c r="G317" s="114">
        <f>G320</f>
        <v>0</v>
      </c>
      <c r="H317" s="40"/>
      <c r="I317" s="147"/>
      <c r="J317" s="150">
        <f>G317/G$394</f>
        <v>0</v>
      </c>
    </row>
    <row r="318" spans="1:10" s="41" customFormat="1" ht="12.75">
      <c r="A318" s="155">
        <f t="shared" si="11"/>
        <v>253</v>
      </c>
      <c r="B318" s="46">
        <v>2030</v>
      </c>
      <c r="C318" s="45" t="s">
        <v>76</v>
      </c>
      <c r="D318" s="114"/>
      <c r="E318" s="114"/>
      <c r="F318" s="114"/>
      <c r="G318" s="114"/>
      <c r="H318" s="40"/>
      <c r="I318" s="147"/>
      <c r="J318" s="150"/>
    </row>
    <row r="319" spans="1:10" ht="12.75">
      <c r="A319" s="155">
        <f t="shared" si="11"/>
        <v>254</v>
      </c>
      <c r="B319" s="46"/>
      <c r="C319" s="45" t="s">
        <v>160</v>
      </c>
      <c r="D319" s="118"/>
      <c r="E319" s="118"/>
      <c r="F319" s="118"/>
      <c r="G319" s="118"/>
      <c r="H319" s="27"/>
      <c r="I319" s="149"/>
      <c r="J319" s="150"/>
    </row>
    <row r="320" spans="1:10" ht="12.75">
      <c r="A320" s="155">
        <f t="shared" si="11"/>
        <v>255</v>
      </c>
      <c r="B320" s="46"/>
      <c r="C320" s="45" t="s">
        <v>190</v>
      </c>
      <c r="D320" s="118">
        <v>400</v>
      </c>
      <c r="E320" s="118"/>
      <c r="F320" s="118">
        <v>400</v>
      </c>
      <c r="G320" s="118">
        <v>0</v>
      </c>
      <c r="H320" s="27"/>
      <c r="I320" s="149"/>
      <c r="J320" s="150">
        <f>G320/G$394</f>
        <v>0</v>
      </c>
    </row>
    <row r="321" spans="1:10" s="37" customFormat="1" ht="15">
      <c r="A321" s="155">
        <f t="shared" si="11"/>
        <v>256</v>
      </c>
      <c r="B321" s="38">
        <v>852</v>
      </c>
      <c r="C321" s="35" t="s">
        <v>132</v>
      </c>
      <c r="D321" s="109">
        <f>D325+D336+D342+D351+D358+D360</f>
        <v>2052645</v>
      </c>
      <c r="E321" s="109" t="e">
        <f>E336+E342+#REF!+#REF!+E351+E358+E360</f>
        <v>#REF!</v>
      </c>
      <c r="F321" s="109">
        <f>F325+F336+F342+F351+F358+F360</f>
        <v>2055285</v>
      </c>
      <c r="G321" s="109">
        <f>G325+G336+G342+G351+G358+G360</f>
        <v>1723000</v>
      </c>
      <c r="H321" s="36"/>
      <c r="I321" s="137">
        <f>G321/F321</f>
        <v>0.8383265581172441</v>
      </c>
      <c r="J321" s="138">
        <f>G321/G$394</f>
        <v>0.06203868405401305</v>
      </c>
    </row>
    <row r="322" spans="1:10" s="41" customFormat="1" ht="12.75">
      <c r="A322" s="155">
        <f t="shared" si="11"/>
        <v>257</v>
      </c>
      <c r="B322" s="42">
        <v>85212</v>
      </c>
      <c r="C322" s="39" t="s">
        <v>221</v>
      </c>
      <c r="D322" s="114"/>
      <c r="E322" s="114"/>
      <c r="F322" s="114"/>
      <c r="G322" s="114"/>
      <c r="H322" s="40"/>
      <c r="I322" s="147"/>
      <c r="J322" s="148"/>
    </row>
    <row r="323" spans="1:10" s="41" customFormat="1" ht="12.75">
      <c r="A323" s="155">
        <f t="shared" si="11"/>
        <v>258</v>
      </c>
      <c r="B323" s="42"/>
      <c r="C323" s="39" t="s">
        <v>220</v>
      </c>
      <c r="D323" s="114"/>
      <c r="E323" s="114"/>
      <c r="F323" s="114"/>
      <c r="G323" s="114"/>
      <c r="H323" s="40"/>
      <c r="I323" s="147"/>
      <c r="J323" s="148"/>
    </row>
    <row r="324" spans="1:10" s="41" customFormat="1" ht="12.75">
      <c r="A324" s="155">
        <f t="shared" si="11"/>
        <v>259</v>
      </c>
      <c r="B324" s="66"/>
      <c r="C324" s="39" t="s">
        <v>166</v>
      </c>
      <c r="D324" s="114"/>
      <c r="E324" s="114"/>
      <c r="F324" s="114"/>
      <c r="G324" s="114"/>
      <c r="H324" s="40"/>
      <c r="I324" s="147"/>
      <c r="J324" s="148"/>
    </row>
    <row r="325" spans="1:10" s="41" customFormat="1" ht="12.75">
      <c r="A325" s="155">
        <f t="shared" si="11"/>
        <v>260</v>
      </c>
      <c r="B325" s="66"/>
      <c r="C325" s="39" t="s">
        <v>167</v>
      </c>
      <c r="D325" s="114">
        <f>D329+D333</f>
        <v>1494000</v>
      </c>
      <c r="E325" s="114"/>
      <c r="F325" s="114">
        <f>F329+F333</f>
        <v>1494000</v>
      </c>
      <c r="G325" s="114">
        <f>G329+G333</f>
        <v>1273000</v>
      </c>
      <c r="H325" s="40"/>
      <c r="I325" s="147">
        <f>G325/F325</f>
        <v>0.8520749665327979</v>
      </c>
      <c r="J325" s="138">
        <f>G325/G$394</f>
        <v>0.04583589367426501</v>
      </c>
    </row>
    <row r="326" spans="1:10" s="41" customFormat="1" ht="12.75">
      <c r="A326" s="155">
        <f t="shared" si="11"/>
        <v>261</v>
      </c>
      <c r="B326" s="46">
        <v>2010</v>
      </c>
      <c r="C326" s="7" t="s">
        <v>76</v>
      </c>
      <c r="D326" s="114"/>
      <c r="E326" s="114"/>
      <c r="F326" s="114"/>
      <c r="G326" s="114"/>
      <c r="H326" s="40"/>
      <c r="I326" s="147"/>
      <c r="J326" s="148"/>
    </row>
    <row r="327" spans="1:10" s="41" customFormat="1" ht="12.75">
      <c r="A327" s="155">
        <f t="shared" si="11"/>
        <v>262</v>
      </c>
      <c r="B327" s="46"/>
      <c r="C327" s="7" t="s">
        <v>83</v>
      </c>
      <c r="D327" s="114"/>
      <c r="E327" s="114"/>
      <c r="F327" s="114"/>
      <c r="G327" s="114"/>
      <c r="H327" s="40"/>
      <c r="I327" s="147"/>
      <c r="J327" s="148"/>
    </row>
    <row r="328" spans="1:10" s="41" customFormat="1" ht="12.75">
      <c r="A328" s="155">
        <f t="shared" si="11"/>
        <v>263</v>
      </c>
      <c r="B328" s="46"/>
      <c r="C328" s="7" t="s">
        <v>84</v>
      </c>
      <c r="D328" s="114"/>
      <c r="E328" s="114"/>
      <c r="F328" s="114"/>
      <c r="G328" s="114"/>
      <c r="H328" s="40"/>
      <c r="I328" s="147"/>
      <c r="J328" s="148"/>
    </row>
    <row r="329" spans="1:10" s="41" customFormat="1" ht="12.75">
      <c r="A329" s="155">
        <f aca="true" t="shared" si="13" ref="A329:A389">A328+1</f>
        <v>264</v>
      </c>
      <c r="B329" s="46"/>
      <c r="C329" s="7" t="s">
        <v>77</v>
      </c>
      <c r="D329" s="119">
        <v>1494000</v>
      </c>
      <c r="E329" s="119"/>
      <c r="F329" s="119">
        <v>1494000</v>
      </c>
      <c r="G329" s="119">
        <v>1273000</v>
      </c>
      <c r="H329" s="40"/>
      <c r="I329" s="149">
        <f>G329/F329</f>
        <v>0.8520749665327979</v>
      </c>
      <c r="J329" s="150">
        <f>G329/G$394</f>
        <v>0.04583589367426501</v>
      </c>
    </row>
    <row r="330" spans="1:10" s="41" customFormat="1" ht="12.75">
      <c r="A330" s="155">
        <f t="shared" si="13"/>
        <v>265</v>
      </c>
      <c r="B330" s="46">
        <v>6310</v>
      </c>
      <c r="C330" s="7" t="s">
        <v>76</v>
      </c>
      <c r="D330" s="119"/>
      <c r="E330" s="119"/>
      <c r="F330" s="119"/>
      <c r="G330" s="119"/>
      <c r="H330" s="40"/>
      <c r="I330" s="147"/>
      <c r="J330" s="148"/>
    </row>
    <row r="331" spans="1:10" s="41" customFormat="1" ht="12.75">
      <c r="A331" s="155">
        <f t="shared" si="13"/>
        <v>266</v>
      </c>
      <c r="B331" s="46"/>
      <c r="C331" s="7" t="s">
        <v>168</v>
      </c>
      <c r="D331" s="119"/>
      <c r="E331" s="119"/>
      <c r="F331" s="119"/>
      <c r="G331" s="119"/>
      <c r="H331" s="40"/>
      <c r="I331" s="147"/>
      <c r="J331" s="148"/>
    </row>
    <row r="332" spans="1:10" s="41" customFormat="1" ht="12.75">
      <c r="A332" s="155">
        <f t="shared" si="13"/>
        <v>267</v>
      </c>
      <c r="B332" s="46"/>
      <c r="C332" s="7" t="s">
        <v>169</v>
      </c>
      <c r="D332" s="119"/>
      <c r="E332" s="119"/>
      <c r="F332" s="119"/>
      <c r="G332" s="119"/>
      <c r="H332" s="40"/>
      <c r="I332" s="147"/>
      <c r="J332" s="148"/>
    </row>
    <row r="333" spans="1:10" s="41" customFormat="1" ht="12.75">
      <c r="A333" s="155">
        <f t="shared" si="13"/>
        <v>268</v>
      </c>
      <c r="B333" s="46"/>
      <c r="C333" s="7" t="s">
        <v>170</v>
      </c>
      <c r="D333" s="119">
        <v>0</v>
      </c>
      <c r="E333" s="119"/>
      <c r="F333" s="119">
        <v>0</v>
      </c>
      <c r="G333" s="119">
        <v>0</v>
      </c>
      <c r="H333" s="40"/>
      <c r="I333" s="147"/>
      <c r="J333" s="150">
        <f>G333/G$394</f>
        <v>0</v>
      </c>
    </row>
    <row r="334" spans="1:10" s="41" customFormat="1" ht="12.75">
      <c r="A334" s="155">
        <f t="shared" si="13"/>
        <v>269</v>
      </c>
      <c r="B334" s="42">
        <v>85213</v>
      </c>
      <c r="C334" s="39" t="s">
        <v>110</v>
      </c>
      <c r="D334" s="114"/>
      <c r="E334" s="114"/>
      <c r="F334" s="114"/>
      <c r="G334" s="114"/>
      <c r="H334" s="40"/>
      <c r="I334" s="147"/>
      <c r="J334" s="148"/>
    </row>
    <row r="335" spans="1:10" s="41" customFormat="1" ht="12.75">
      <c r="A335" s="155">
        <f t="shared" si="13"/>
        <v>270</v>
      </c>
      <c r="B335" s="47"/>
      <c r="C335" s="54" t="s">
        <v>111</v>
      </c>
      <c r="D335" s="114"/>
      <c r="E335" s="114"/>
      <c r="F335" s="114"/>
      <c r="G335" s="114"/>
      <c r="H335" s="40"/>
      <c r="I335" s="147"/>
      <c r="J335" s="148"/>
    </row>
    <row r="336" spans="1:10" s="41" customFormat="1" ht="12.75">
      <c r="A336" s="155">
        <f t="shared" si="13"/>
        <v>271</v>
      </c>
      <c r="B336" s="47"/>
      <c r="C336" s="39" t="s">
        <v>112</v>
      </c>
      <c r="D336" s="114">
        <f>D340</f>
        <v>12000</v>
      </c>
      <c r="E336" s="114"/>
      <c r="F336" s="114">
        <f>F340</f>
        <v>12000</v>
      </c>
      <c r="G336" s="114">
        <f>G340</f>
        <v>12000</v>
      </c>
      <c r="H336" s="40"/>
      <c r="I336" s="147">
        <f>G336/F336</f>
        <v>1</v>
      </c>
      <c r="J336" s="138">
        <f>G336/G$394</f>
        <v>0.0004320744101266144</v>
      </c>
    </row>
    <row r="337" spans="1:10" ht="12.75">
      <c r="A337" s="155">
        <f t="shared" si="13"/>
        <v>272</v>
      </c>
      <c r="B337" s="46">
        <v>2010</v>
      </c>
      <c r="C337" s="7" t="s">
        <v>76</v>
      </c>
      <c r="D337" s="118"/>
      <c r="E337" s="118"/>
      <c r="F337" s="114"/>
      <c r="G337" s="114"/>
      <c r="H337" s="27"/>
      <c r="I337" s="149"/>
      <c r="J337" s="150"/>
    </row>
    <row r="338" spans="1:10" ht="12.75">
      <c r="A338" s="155">
        <f t="shared" si="13"/>
        <v>273</v>
      </c>
      <c r="B338" s="46"/>
      <c r="C338" s="7" t="s">
        <v>83</v>
      </c>
      <c r="D338" s="118"/>
      <c r="E338" s="118"/>
      <c r="F338" s="118"/>
      <c r="G338" s="118"/>
      <c r="H338" s="27"/>
      <c r="I338" s="149"/>
      <c r="J338" s="150"/>
    </row>
    <row r="339" spans="1:10" ht="12.75">
      <c r="A339" s="155">
        <f t="shared" si="13"/>
        <v>274</v>
      </c>
      <c r="B339" s="46"/>
      <c r="C339" s="7" t="s">
        <v>84</v>
      </c>
      <c r="D339" s="118"/>
      <c r="E339" s="118"/>
      <c r="F339" s="118"/>
      <c r="G339" s="118"/>
      <c r="H339" s="27"/>
      <c r="I339" s="149"/>
      <c r="J339" s="150"/>
    </row>
    <row r="340" spans="1:10" ht="12.75">
      <c r="A340" s="155">
        <f t="shared" si="13"/>
        <v>275</v>
      </c>
      <c r="B340" s="46"/>
      <c r="C340" s="7" t="s">
        <v>77</v>
      </c>
      <c r="D340" s="118">
        <v>12000</v>
      </c>
      <c r="E340" s="118"/>
      <c r="F340" s="118">
        <v>12000</v>
      </c>
      <c r="G340" s="118">
        <v>12000</v>
      </c>
      <c r="H340" s="27"/>
      <c r="I340" s="149">
        <f>G340/F340</f>
        <v>1</v>
      </c>
      <c r="J340" s="150">
        <f>G340/G$394</f>
        <v>0.0004320744101266144</v>
      </c>
    </row>
    <row r="341" spans="1:10" ht="12.75">
      <c r="A341" s="155">
        <f t="shared" si="13"/>
        <v>276</v>
      </c>
      <c r="B341" s="42">
        <v>85214</v>
      </c>
      <c r="C341" s="15" t="s">
        <v>37</v>
      </c>
      <c r="D341" s="118"/>
      <c r="E341" s="118"/>
      <c r="F341" s="118"/>
      <c r="G341" s="118"/>
      <c r="H341" s="27"/>
      <c r="I341" s="149"/>
      <c r="J341" s="150"/>
    </row>
    <row r="342" spans="1:10" ht="12.75">
      <c r="A342" s="155">
        <f t="shared" si="13"/>
        <v>277</v>
      </c>
      <c r="B342" s="46"/>
      <c r="C342" s="15" t="s">
        <v>82</v>
      </c>
      <c r="D342" s="114">
        <f>D343+D347+D350</f>
        <v>266415</v>
      </c>
      <c r="E342" s="114"/>
      <c r="F342" s="114">
        <f>F343+F347+F350</f>
        <v>268201</v>
      </c>
      <c r="G342" s="114">
        <f>G343+G347+G350</f>
        <v>254000</v>
      </c>
      <c r="H342" s="27"/>
      <c r="I342" s="147">
        <f>G342/F342</f>
        <v>0.9470509058504629</v>
      </c>
      <c r="J342" s="138">
        <f>G342/G$394</f>
        <v>0.009145575014346671</v>
      </c>
    </row>
    <row r="343" spans="1:10" ht="12.75">
      <c r="A343" s="155">
        <f t="shared" si="13"/>
        <v>278</v>
      </c>
      <c r="B343" s="46" t="s">
        <v>134</v>
      </c>
      <c r="C343" s="45" t="s">
        <v>52</v>
      </c>
      <c r="D343" s="119">
        <v>0</v>
      </c>
      <c r="E343" s="119"/>
      <c r="F343" s="119">
        <v>1786</v>
      </c>
      <c r="G343" s="119">
        <v>0</v>
      </c>
      <c r="H343" s="51"/>
      <c r="I343" s="149"/>
      <c r="J343" s="150">
        <f>G343/G$394</f>
        <v>0</v>
      </c>
    </row>
    <row r="344" spans="1:10" ht="12.75">
      <c r="A344" s="155">
        <f t="shared" si="13"/>
        <v>279</v>
      </c>
      <c r="B344" s="43">
        <v>2010</v>
      </c>
      <c r="C344" s="7" t="s">
        <v>76</v>
      </c>
      <c r="D344" s="118"/>
      <c r="E344" s="118"/>
      <c r="F344" s="118"/>
      <c r="G344" s="118"/>
      <c r="H344" s="27"/>
      <c r="I344" s="149"/>
      <c r="J344" s="150"/>
    </row>
    <row r="345" spans="1:10" ht="12.75">
      <c r="A345" s="155">
        <f t="shared" si="13"/>
        <v>280</v>
      </c>
      <c r="B345" s="43"/>
      <c r="C345" s="7" t="s">
        <v>159</v>
      </c>
      <c r="D345" s="118"/>
      <c r="E345" s="118"/>
      <c r="F345" s="118"/>
      <c r="G345" s="118"/>
      <c r="H345" s="27"/>
      <c r="I345" s="149"/>
      <c r="J345" s="150"/>
    </row>
    <row r="346" spans="1:10" ht="12.75">
      <c r="A346" s="155">
        <f t="shared" si="13"/>
        <v>281</v>
      </c>
      <c r="B346" s="43"/>
      <c r="C346" s="7" t="s">
        <v>84</v>
      </c>
      <c r="D346" s="118"/>
      <c r="E346" s="118"/>
      <c r="F346" s="118"/>
      <c r="G346" s="118"/>
      <c r="H346" s="27"/>
      <c r="I346" s="149"/>
      <c r="J346" s="150"/>
    </row>
    <row r="347" spans="1:10" ht="12.75">
      <c r="A347" s="155">
        <f t="shared" si="13"/>
        <v>282</v>
      </c>
      <c r="B347" s="43"/>
      <c r="C347" s="7" t="s">
        <v>77</v>
      </c>
      <c r="D347" s="118">
        <v>123000</v>
      </c>
      <c r="E347" s="118"/>
      <c r="F347" s="118">
        <v>123000</v>
      </c>
      <c r="G347" s="118">
        <v>117000</v>
      </c>
      <c r="H347" s="27"/>
      <c r="I347" s="149">
        <f>G347/F347</f>
        <v>0.9512195121951219</v>
      </c>
      <c r="J347" s="150">
        <f>G347/G$394</f>
        <v>0.00421272549873449</v>
      </c>
    </row>
    <row r="348" spans="1:10" ht="12.75">
      <c r="A348" s="155">
        <f t="shared" si="13"/>
        <v>283</v>
      </c>
      <c r="B348" s="46">
        <v>2030</v>
      </c>
      <c r="C348" s="45" t="s">
        <v>76</v>
      </c>
      <c r="D348" s="118"/>
      <c r="E348" s="118"/>
      <c r="F348" s="118"/>
      <c r="G348" s="118"/>
      <c r="H348" s="27"/>
      <c r="I348" s="149"/>
      <c r="J348" s="150"/>
    </row>
    <row r="349" spans="1:10" ht="12.75">
      <c r="A349" s="155">
        <f t="shared" si="13"/>
        <v>284</v>
      </c>
      <c r="B349" s="46"/>
      <c r="C349" s="45" t="s">
        <v>160</v>
      </c>
      <c r="D349" s="118"/>
      <c r="E349" s="118"/>
      <c r="F349" s="118"/>
      <c r="G349" s="118"/>
      <c r="H349" s="27"/>
      <c r="I349" s="149"/>
      <c r="J349" s="150"/>
    </row>
    <row r="350" spans="1:10" ht="12.75">
      <c r="A350" s="155">
        <f t="shared" si="13"/>
        <v>285</v>
      </c>
      <c r="B350" s="50"/>
      <c r="C350" s="45" t="s">
        <v>208</v>
      </c>
      <c r="D350" s="118">
        <f>134273+9142</f>
        <v>143415</v>
      </c>
      <c r="E350" s="118"/>
      <c r="F350" s="118">
        <f>134273+9142</f>
        <v>143415</v>
      </c>
      <c r="G350" s="118">
        <v>137000</v>
      </c>
      <c r="H350" s="27"/>
      <c r="I350" s="149">
        <f>G350/F350</f>
        <v>0.955269671931109</v>
      </c>
      <c r="J350" s="150">
        <f>G350/G$394</f>
        <v>0.004932849515612181</v>
      </c>
    </row>
    <row r="351" spans="1:10" ht="12.75">
      <c r="A351" s="155">
        <f t="shared" si="13"/>
        <v>286</v>
      </c>
      <c r="B351" s="14">
        <v>85219</v>
      </c>
      <c r="C351" s="15" t="s">
        <v>38</v>
      </c>
      <c r="D351" s="114">
        <f>SUM(D352:D356)</f>
        <v>113000</v>
      </c>
      <c r="E351" s="114"/>
      <c r="F351" s="114">
        <f>SUM(F352:F356)</f>
        <v>113854</v>
      </c>
      <c r="G351" s="114">
        <f>SUM(G352:G356)</f>
        <v>104000</v>
      </c>
      <c r="H351" s="27"/>
      <c r="I351" s="147">
        <f>G351/F351</f>
        <v>0.9134505594884677</v>
      </c>
      <c r="J351" s="148">
        <f>G351/G$394</f>
        <v>0.0037446448877639913</v>
      </c>
    </row>
    <row r="352" spans="1:10" ht="12.75">
      <c r="A352" s="155">
        <f t="shared" si="13"/>
        <v>287</v>
      </c>
      <c r="B352" s="19" t="s">
        <v>142</v>
      </c>
      <c r="C352" s="11" t="s">
        <v>67</v>
      </c>
      <c r="D352" s="120">
        <v>0</v>
      </c>
      <c r="E352" s="120"/>
      <c r="F352" s="120">
        <v>54</v>
      </c>
      <c r="G352" s="120">
        <v>0</v>
      </c>
      <c r="H352" s="32"/>
      <c r="I352" s="149"/>
      <c r="J352" s="150"/>
    </row>
    <row r="353" spans="1:10" ht="12.75">
      <c r="A353" s="155">
        <f t="shared" si="13"/>
        <v>288</v>
      </c>
      <c r="B353" s="43" t="s">
        <v>134</v>
      </c>
      <c r="C353" s="45" t="s">
        <v>52</v>
      </c>
      <c r="D353" s="118">
        <v>0</v>
      </c>
      <c r="E353" s="118"/>
      <c r="F353" s="118">
        <v>800</v>
      </c>
      <c r="G353" s="118">
        <v>0</v>
      </c>
      <c r="H353" s="27"/>
      <c r="I353" s="149"/>
      <c r="J353" s="150">
        <f>G353/G$394</f>
        <v>0</v>
      </c>
    </row>
    <row r="354" spans="1:10" ht="12.75">
      <c r="A354" s="155">
        <f t="shared" si="13"/>
        <v>289</v>
      </c>
      <c r="B354" s="46">
        <v>2030</v>
      </c>
      <c r="C354" s="45" t="s">
        <v>76</v>
      </c>
      <c r="D354" s="118"/>
      <c r="E354" s="118"/>
      <c r="F354" s="118"/>
      <c r="G354" s="118"/>
      <c r="H354" s="27"/>
      <c r="I354" s="149"/>
      <c r="J354" s="150"/>
    </row>
    <row r="355" spans="1:10" ht="12.75">
      <c r="A355" s="155">
        <f t="shared" si="13"/>
        <v>290</v>
      </c>
      <c r="B355" s="46"/>
      <c r="C355" s="45" t="s">
        <v>160</v>
      </c>
      <c r="D355" s="118"/>
      <c r="E355" s="118"/>
      <c r="F355" s="118"/>
      <c r="G355" s="118"/>
      <c r="H355" s="27"/>
      <c r="I355" s="149"/>
      <c r="J355" s="150"/>
    </row>
    <row r="356" spans="1:10" ht="12.75">
      <c r="A356" s="155">
        <f t="shared" si="13"/>
        <v>291</v>
      </c>
      <c r="B356" s="50"/>
      <c r="C356" s="45" t="s">
        <v>81</v>
      </c>
      <c r="D356" s="118">
        <v>113000</v>
      </c>
      <c r="E356" s="118"/>
      <c r="F356" s="118">
        <v>113000</v>
      </c>
      <c r="G356" s="118">
        <v>104000</v>
      </c>
      <c r="H356" s="27"/>
      <c r="I356" s="149">
        <f>G356/F356</f>
        <v>0.9203539823008849</v>
      </c>
      <c r="J356" s="150">
        <f>G356/G$394</f>
        <v>0.0037446448877639913</v>
      </c>
    </row>
    <row r="357" spans="1:10" ht="12.75">
      <c r="A357" s="155">
        <f t="shared" si="13"/>
        <v>292</v>
      </c>
      <c r="B357" s="14">
        <v>85228</v>
      </c>
      <c r="C357" s="15" t="s">
        <v>35</v>
      </c>
      <c r="D357" s="118"/>
      <c r="E357" s="118"/>
      <c r="F357" s="118"/>
      <c r="G357" s="118"/>
      <c r="H357" s="27"/>
      <c r="I357" s="149"/>
      <c r="J357" s="150"/>
    </row>
    <row r="358" spans="1:10" ht="12.75">
      <c r="A358" s="155">
        <f t="shared" si="13"/>
        <v>293</v>
      </c>
      <c r="B358" s="14"/>
      <c r="C358" s="15" t="s">
        <v>36</v>
      </c>
      <c r="D358" s="114">
        <f>D359</f>
        <v>10000</v>
      </c>
      <c r="E358" s="114" t="e">
        <f>#REF!</f>
        <v>#REF!</v>
      </c>
      <c r="F358" s="114">
        <f>F359</f>
        <v>10000</v>
      </c>
      <c r="G358" s="114">
        <f>G359</f>
        <v>10000</v>
      </c>
      <c r="H358" s="27"/>
      <c r="I358" s="147">
        <f>G358/F358</f>
        <v>1</v>
      </c>
      <c r="J358" s="148">
        <f>G358/G$394</f>
        <v>0.0003600620084388453</v>
      </c>
    </row>
    <row r="359" spans="1:10" ht="12.75">
      <c r="A359" s="155">
        <f t="shared" si="13"/>
        <v>294</v>
      </c>
      <c r="B359" s="43" t="s">
        <v>141</v>
      </c>
      <c r="C359" s="7" t="s">
        <v>11</v>
      </c>
      <c r="D359" s="118">
        <v>10000</v>
      </c>
      <c r="E359" s="118"/>
      <c r="F359" s="118">
        <v>10000</v>
      </c>
      <c r="G359" s="118">
        <v>10000</v>
      </c>
      <c r="H359" s="27"/>
      <c r="I359" s="149">
        <f>G359/F359</f>
        <v>1</v>
      </c>
      <c r="J359" s="150">
        <f>G359/G$394</f>
        <v>0.0003600620084388453</v>
      </c>
    </row>
    <row r="360" spans="1:10" ht="12.75">
      <c r="A360" s="155">
        <f t="shared" si="13"/>
        <v>295</v>
      </c>
      <c r="B360" s="14">
        <v>85295</v>
      </c>
      <c r="C360" s="15" t="s">
        <v>8</v>
      </c>
      <c r="D360" s="114">
        <f>D363</f>
        <v>157230</v>
      </c>
      <c r="E360" s="114" t="e">
        <f>#REF!+E363</f>
        <v>#REF!</v>
      </c>
      <c r="F360" s="114">
        <f>F363</f>
        <v>157230</v>
      </c>
      <c r="G360" s="114">
        <f>G363</f>
        <v>70000</v>
      </c>
      <c r="H360" s="27"/>
      <c r="I360" s="147">
        <f>G360/F360</f>
        <v>0.4452076575717102</v>
      </c>
      <c r="J360" s="148">
        <f>G360/G$394</f>
        <v>0.0025204340590719173</v>
      </c>
    </row>
    <row r="361" spans="1:10" ht="12.75">
      <c r="A361" s="155">
        <f t="shared" si="13"/>
        <v>296</v>
      </c>
      <c r="B361" s="46">
        <v>2030</v>
      </c>
      <c r="C361" s="45" t="s">
        <v>76</v>
      </c>
      <c r="D361" s="118"/>
      <c r="E361" s="118"/>
      <c r="F361" s="118"/>
      <c r="G361" s="118"/>
      <c r="H361" s="27"/>
      <c r="I361" s="149"/>
      <c r="J361" s="150"/>
    </row>
    <row r="362" spans="1:10" ht="12.75">
      <c r="A362" s="155">
        <f t="shared" si="13"/>
        <v>297</v>
      </c>
      <c r="B362" s="46"/>
      <c r="C362" s="45" t="s">
        <v>160</v>
      </c>
      <c r="D362" s="118"/>
      <c r="E362" s="118"/>
      <c r="F362" s="118"/>
      <c r="G362" s="118"/>
      <c r="H362" s="27"/>
      <c r="I362" s="149"/>
      <c r="J362" s="150"/>
    </row>
    <row r="363" spans="1:10" ht="12.75">
      <c r="A363" s="155">
        <f t="shared" si="13"/>
        <v>298</v>
      </c>
      <c r="B363" s="46"/>
      <c r="C363" s="45" t="s">
        <v>209</v>
      </c>
      <c r="D363" s="118">
        <v>157230</v>
      </c>
      <c r="E363" s="118"/>
      <c r="F363" s="118">
        <v>157230</v>
      </c>
      <c r="G363" s="118">
        <v>70000</v>
      </c>
      <c r="H363" s="27"/>
      <c r="I363" s="149">
        <f>G363/F363</f>
        <v>0.4452076575717102</v>
      </c>
      <c r="J363" s="150">
        <f>G363/G$394</f>
        <v>0.0025204340590719173</v>
      </c>
    </row>
    <row r="364" spans="1:10" s="37" customFormat="1" ht="15">
      <c r="A364" s="155">
        <f t="shared" si="13"/>
        <v>299</v>
      </c>
      <c r="B364" s="38">
        <v>854</v>
      </c>
      <c r="C364" s="35" t="s">
        <v>32</v>
      </c>
      <c r="D364" s="109"/>
      <c r="E364" s="109"/>
      <c r="F364" s="109"/>
      <c r="G364" s="109"/>
      <c r="H364" s="36"/>
      <c r="I364" s="149"/>
      <c r="J364" s="150"/>
    </row>
    <row r="365" spans="1:10" s="37" customFormat="1" ht="15">
      <c r="A365" s="155">
        <f t="shared" si="13"/>
        <v>300</v>
      </c>
      <c r="B365" s="35"/>
      <c r="C365" s="35" t="s">
        <v>33</v>
      </c>
      <c r="D365" s="109">
        <f>D368+D380</f>
        <v>220998</v>
      </c>
      <c r="E365" s="109" t="e">
        <f>#REF!+E368+#REF!+#REF!</f>
        <v>#REF!</v>
      </c>
      <c r="F365" s="109">
        <f>F368+F380</f>
        <v>190865</v>
      </c>
      <c r="G365" s="109">
        <f>G368+G380</f>
        <v>62500</v>
      </c>
      <c r="H365" s="36" t="e">
        <f>#REF!+H368+#REF!+#REF!</f>
        <v>#REF!</v>
      </c>
      <c r="I365" s="137">
        <f>G365/F365</f>
        <v>0.3274565792575904</v>
      </c>
      <c r="J365" s="138">
        <f>G365/G$394</f>
        <v>0.0022503875527427834</v>
      </c>
    </row>
    <row r="366" spans="1:10" s="3" customFormat="1" ht="12.75">
      <c r="A366" s="155">
        <f t="shared" si="13"/>
        <v>301</v>
      </c>
      <c r="B366" s="18">
        <v>85412</v>
      </c>
      <c r="C366" s="15" t="s">
        <v>34</v>
      </c>
      <c r="D366" s="117"/>
      <c r="E366" s="117"/>
      <c r="F366" s="117"/>
      <c r="G366" s="117"/>
      <c r="H366" s="21"/>
      <c r="I366" s="149"/>
      <c r="J366" s="150"/>
    </row>
    <row r="367" spans="1:10" s="3" customFormat="1" ht="12.75">
      <c r="A367" s="155">
        <f t="shared" si="13"/>
        <v>302</v>
      </c>
      <c r="B367" s="18"/>
      <c r="C367" s="15" t="s">
        <v>116</v>
      </c>
      <c r="D367" s="117"/>
      <c r="E367" s="117"/>
      <c r="F367" s="117"/>
      <c r="G367" s="117"/>
      <c r="H367" s="21"/>
      <c r="I367" s="149"/>
      <c r="J367" s="150"/>
    </row>
    <row r="368" spans="1:10" s="3" customFormat="1" ht="12.75">
      <c r="A368" s="155">
        <f t="shared" si="13"/>
        <v>303</v>
      </c>
      <c r="B368" s="18"/>
      <c r="C368" s="15" t="s">
        <v>133</v>
      </c>
      <c r="D368" s="117">
        <f>D372+D376</f>
        <v>200207</v>
      </c>
      <c r="E368" s="117">
        <f>E376</f>
        <v>-26500</v>
      </c>
      <c r="F368" s="117">
        <f>F372+F376</f>
        <v>170074</v>
      </c>
      <c r="G368" s="117">
        <f>G372+G376</f>
        <v>62500</v>
      </c>
      <c r="H368" s="21">
        <f>H376</f>
        <v>120000</v>
      </c>
      <c r="I368" s="147">
        <f>G368/F368</f>
        <v>0.3674870938532639</v>
      </c>
      <c r="J368" s="148">
        <f>G368/G$394</f>
        <v>0.0022503875527427834</v>
      </c>
    </row>
    <row r="369" spans="1:10" s="52" customFormat="1" ht="12.75">
      <c r="A369" s="155">
        <f t="shared" si="13"/>
        <v>304</v>
      </c>
      <c r="B369" s="46" t="s">
        <v>138</v>
      </c>
      <c r="C369" s="7" t="s">
        <v>55</v>
      </c>
      <c r="D369" s="119"/>
      <c r="E369" s="119"/>
      <c r="F369" s="119"/>
      <c r="G369" s="119"/>
      <c r="H369" s="51"/>
      <c r="I369" s="149"/>
      <c r="J369" s="150"/>
    </row>
    <row r="370" spans="1:10" s="52" customFormat="1" ht="12.75">
      <c r="A370" s="155">
        <f t="shared" si="13"/>
        <v>305</v>
      </c>
      <c r="B370" s="53"/>
      <c r="C370" s="44" t="s">
        <v>124</v>
      </c>
      <c r="D370" s="119"/>
      <c r="E370" s="119"/>
      <c r="F370" s="119"/>
      <c r="G370" s="119"/>
      <c r="H370" s="51"/>
      <c r="I370" s="149"/>
      <c r="J370" s="150"/>
    </row>
    <row r="371" spans="1:10" s="52" customFormat="1" ht="12.75">
      <c r="A371" s="155">
        <f t="shared" si="13"/>
        <v>306</v>
      </c>
      <c r="B371" s="53"/>
      <c r="C371" s="7" t="s">
        <v>125</v>
      </c>
      <c r="D371" s="119"/>
      <c r="E371" s="119"/>
      <c r="F371" s="119"/>
      <c r="G371" s="119"/>
      <c r="H371" s="51"/>
      <c r="I371" s="149"/>
      <c r="J371" s="150"/>
    </row>
    <row r="372" spans="1:10" s="52" customFormat="1" ht="12.75">
      <c r="A372" s="155">
        <f t="shared" si="13"/>
        <v>307</v>
      </c>
      <c r="B372" s="53"/>
      <c r="C372" s="7" t="s">
        <v>126</v>
      </c>
      <c r="D372" s="119">
        <f>SUM(D374:D375)</f>
        <v>166207</v>
      </c>
      <c r="E372" s="119"/>
      <c r="F372" s="119">
        <f>SUM(F374:F375)</f>
        <v>136204</v>
      </c>
      <c r="G372" s="119">
        <f>SUM(G374:G375)</f>
        <v>55000</v>
      </c>
      <c r="H372" s="51"/>
      <c r="I372" s="149">
        <f>G372/F372</f>
        <v>0.4038060556224487</v>
      </c>
      <c r="J372" s="150">
        <f>G372/G$394</f>
        <v>0.001980341046413649</v>
      </c>
    </row>
    <row r="373" spans="1:10" s="52" customFormat="1" ht="12.75">
      <c r="A373" s="155">
        <f t="shared" si="13"/>
        <v>308</v>
      </c>
      <c r="B373" s="53"/>
      <c r="C373" s="7" t="s">
        <v>9</v>
      </c>
      <c r="D373" s="119"/>
      <c r="E373" s="119"/>
      <c r="F373" s="119"/>
      <c r="G373" s="119"/>
      <c r="H373" s="51"/>
      <c r="I373" s="149"/>
      <c r="J373" s="150"/>
    </row>
    <row r="374" spans="1:10" s="52" customFormat="1" ht="12.75">
      <c r="A374" s="155">
        <f t="shared" si="13"/>
        <v>309</v>
      </c>
      <c r="B374" s="53"/>
      <c r="C374" s="7" t="s">
        <v>79</v>
      </c>
      <c r="D374" s="119">
        <v>112107</v>
      </c>
      <c r="E374" s="119"/>
      <c r="F374" s="119">
        <v>82106</v>
      </c>
      <c r="G374" s="119">
        <v>0</v>
      </c>
      <c r="H374" s="51"/>
      <c r="I374" s="149"/>
      <c r="J374" s="150">
        <f>G374/G$394</f>
        <v>0</v>
      </c>
    </row>
    <row r="375" spans="1:10" s="52" customFormat="1" ht="12.75">
      <c r="A375" s="155">
        <f t="shared" si="13"/>
        <v>310</v>
      </c>
      <c r="B375" s="53"/>
      <c r="C375" s="45" t="s">
        <v>91</v>
      </c>
      <c r="D375" s="119">
        <f>55000-900</f>
        <v>54100</v>
      </c>
      <c r="E375" s="119"/>
      <c r="F375" s="119">
        <v>54098</v>
      </c>
      <c r="G375" s="119">
        <v>55000</v>
      </c>
      <c r="H375" s="51"/>
      <c r="I375" s="149">
        <f>G375/F375</f>
        <v>1.01667344448963</v>
      </c>
      <c r="J375" s="150">
        <f>G375/G$394</f>
        <v>0.001980341046413649</v>
      </c>
    </row>
    <row r="376" spans="1:10" ht="12.75">
      <c r="A376" s="155">
        <f t="shared" si="13"/>
        <v>311</v>
      </c>
      <c r="B376" s="43" t="s">
        <v>141</v>
      </c>
      <c r="C376" s="7" t="s">
        <v>11</v>
      </c>
      <c r="D376" s="118">
        <f>SUM(D378:D379)</f>
        <v>34000</v>
      </c>
      <c r="E376" s="118">
        <f>SUM(E378:E379)</f>
        <v>-26500</v>
      </c>
      <c r="F376" s="118">
        <f>SUM(F378:F379)</f>
        <v>33870</v>
      </c>
      <c r="G376" s="118">
        <f>SUM(G378:G379)</f>
        <v>7500</v>
      </c>
      <c r="H376" s="27">
        <f>SUM(H378:H379)</f>
        <v>120000</v>
      </c>
      <c r="I376" s="149">
        <f>G376/F376</f>
        <v>0.22143489813994685</v>
      </c>
      <c r="J376" s="150">
        <f>G376/G$394</f>
        <v>0.00027004650632913397</v>
      </c>
    </row>
    <row r="377" spans="1:10" ht="12.75">
      <c r="A377" s="155">
        <f t="shared" si="13"/>
        <v>312</v>
      </c>
      <c r="B377" s="7"/>
      <c r="C377" s="7" t="s">
        <v>9</v>
      </c>
      <c r="D377" s="118"/>
      <c r="E377" s="118"/>
      <c r="F377" s="118"/>
      <c r="G377" s="118"/>
      <c r="H377" s="27"/>
      <c r="I377" s="149"/>
      <c r="J377" s="150"/>
    </row>
    <row r="378" spans="1:10" ht="12.75">
      <c r="A378" s="155">
        <f t="shared" si="13"/>
        <v>313</v>
      </c>
      <c r="B378" s="7"/>
      <c r="C378" s="7" t="s">
        <v>80</v>
      </c>
      <c r="D378" s="118">
        <v>28000</v>
      </c>
      <c r="E378" s="118">
        <f>G378-D378</f>
        <v>-28000</v>
      </c>
      <c r="F378" s="118">
        <v>27847</v>
      </c>
      <c r="G378" s="118">
        <v>0</v>
      </c>
      <c r="H378" s="27">
        <v>120000</v>
      </c>
      <c r="I378" s="149"/>
      <c r="J378" s="150">
        <f>G378/G$394</f>
        <v>0</v>
      </c>
    </row>
    <row r="379" spans="1:10" ht="12.75">
      <c r="A379" s="155">
        <f t="shared" si="13"/>
        <v>314</v>
      </c>
      <c r="B379" s="7"/>
      <c r="C379" s="7" t="s">
        <v>91</v>
      </c>
      <c r="D379" s="118">
        <f>6500-500</f>
        <v>6000</v>
      </c>
      <c r="E379" s="118">
        <f>G379-D379</f>
        <v>1500</v>
      </c>
      <c r="F379" s="118">
        <v>6023</v>
      </c>
      <c r="G379" s="118">
        <v>7500</v>
      </c>
      <c r="H379" s="27">
        <v>0</v>
      </c>
      <c r="I379" s="149">
        <f>G379/F379</f>
        <v>1.245226631246887</v>
      </c>
      <c r="J379" s="150">
        <f>G379/G$394</f>
        <v>0.00027004650632913397</v>
      </c>
    </row>
    <row r="380" spans="1:10" s="41" customFormat="1" ht="12.75">
      <c r="A380" s="155">
        <f t="shared" si="13"/>
        <v>315</v>
      </c>
      <c r="B380" s="42">
        <v>85415</v>
      </c>
      <c r="C380" s="39" t="s">
        <v>210</v>
      </c>
      <c r="D380" s="114">
        <f>D383</f>
        <v>20791</v>
      </c>
      <c r="E380" s="114"/>
      <c r="F380" s="114">
        <f>F383</f>
        <v>20791</v>
      </c>
      <c r="G380" s="114">
        <f>G383</f>
        <v>0</v>
      </c>
      <c r="H380" s="40"/>
      <c r="I380" s="147"/>
      <c r="J380" s="148">
        <f>G380/G$394</f>
        <v>0</v>
      </c>
    </row>
    <row r="381" spans="1:10" s="52" customFormat="1" ht="12.75">
      <c r="A381" s="155">
        <f t="shared" si="13"/>
        <v>316</v>
      </c>
      <c r="B381" s="46">
        <v>2030</v>
      </c>
      <c r="C381" s="45" t="s">
        <v>76</v>
      </c>
      <c r="D381" s="119"/>
      <c r="E381" s="119"/>
      <c r="F381" s="119"/>
      <c r="G381" s="119"/>
      <c r="H381" s="51"/>
      <c r="I381" s="149"/>
      <c r="J381" s="150"/>
    </row>
    <row r="382" spans="1:10" s="52" customFormat="1" ht="12.75">
      <c r="A382" s="155">
        <f t="shared" si="13"/>
        <v>317</v>
      </c>
      <c r="B382" s="53"/>
      <c r="C382" s="45" t="s">
        <v>160</v>
      </c>
      <c r="D382" s="119"/>
      <c r="E382" s="119"/>
      <c r="F382" s="119"/>
      <c r="G382" s="119"/>
      <c r="H382" s="51"/>
      <c r="I382" s="149"/>
      <c r="J382" s="150"/>
    </row>
    <row r="383" spans="1:10" s="52" customFormat="1" ht="12.75">
      <c r="A383" s="155">
        <f t="shared" si="13"/>
        <v>318</v>
      </c>
      <c r="B383" s="45"/>
      <c r="C383" s="45" t="s">
        <v>211</v>
      </c>
      <c r="D383" s="119">
        <v>20791</v>
      </c>
      <c r="E383" s="119"/>
      <c r="F383" s="119">
        <v>20791</v>
      </c>
      <c r="G383" s="119">
        <v>0</v>
      </c>
      <c r="H383" s="51"/>
      <c r="I383" s="149"/>
      <c r="J383" s="150">
        <f>G383/G$394</f>
        <v>0</v>
      </c>
    </row>
    <row r="384" spans="1:10" s="52" customFormat="1" ht="12.75">
      <c r="A384" s="155"/>
      <c r="B384" s="45"/>
      <c r="C384" s="45"/>
      <c r="D384" s="119"/>
      <c r="E384" s="119"/>
      <c r="F384" s="119"/>
      <c r="G384" s="119"/>
      <c r="H384" s="51"/>
      <c r="I384" s="149"/>
      <c r="J384" s="150"/>
    </row>
    <row r="385" spans="1:10" s="52" customFormat="1" ht="12.75">
      <c r="A385" s="155"/>
      <c r="B385" s="45"/>
      <c r="C385" s="45"/>
      <c r="D385" s="119"/>
      <c r="E385" s="119"/>
      <c r="F385" s="119"/>
      <c r="G385" s="119"/>
      <c r="H385" s="51"/>
      <c r="I385" s="149"/>
      <c r="J385" s="150"/>
    </row>
    <row r="386" spans="1:10" s="4" customFormat="1" ht="15">
      <c r="A386" s="155">
        <f>A383+1</f>
        <v>319</v>
      </c>
      <c r="B386" s="12">
        <v>900</v>
      </c>
      <c r="C386" s="13" t="s">
        <v>4</v>
      </c>
      <c r="D386" s="113"/>
      <c r="E386" s="113"/>
      <c r="F386" s="113"/>
      <c r="G386" s="113"/>
      <c r="H386" s="20"/>
      <c r="I386" s="149"/>
      <c r="J386" s="150"/>
    </row>
    <row r="387" spans="1:10" s="4" customFormat="1" ht="15">
      <c r="A387" s="155">
        <f t="shared" si="13"/>
        <v>320</v>
      </c>
      <c r="B387" s="12"/>
      <c r="C387" s="13" t="s">
        <v>30</v>
      </c>
      <c r="D387" s="113">
        <f>D388</f>
        <v>0</v>
      </c>
      <c r="E387" s="113" t="e">
        <f>E388+#REF!</f>
        <v>#REF!</v>
      </c>
      <c r="F387" s="113">
        <f>F388</f>
        <v>0</v>
      </c>
      <c r="G387" s="113">
        <f>G388</f>
        <v>0</v>
      </c>
      <c r="H387" s="20" t="e">
        <f>#REF!+H388+#REF!</f>
        <v>#REF!</v>
      </c>
      <c r="I387" s="137"/>
      <c r="J387" s="138">
        <f>G387/G$394</f>
        <v>0</v>
      </c>
    </row>
    <row r="388" spans="1:10" s="41" customFormat="1" ht="12.75">
      <c r="A388" s="155">
        <f t="shared" si="13"/>
        <v>321</v>
      </c>
      <c r="B388" s="42">
        <v>90015</v>
      </c>
      <c r="C388" s="39" t="s">
        <v>75</v>
      </c>
      <c r="D388" s="114">
        <f>D389</f>
        <v>0</v>
      </c>
      <c r="E388" s="114" t="e">
        <f>#REF!</f>
        <v>#REF!</v>
      </c>
      <c r="F388" s="114">
        <f>F389</f>
        <v>0</v>
      </c>
      <c r="G388" s="114">
        <f>G389</f>
        <v>0</v>
      </c>
      <c r="H388" s="40" t="e">
        <f>#REF!</f>
        <v>#REF!</v>
      </c>
      <c r="I388" s="147"/>
      <c r="J388" s="148">
        <f>G388/G$394</f>
        <v>0</v>
      </c>
    </row>
    <row r="389" spans="1:10" s="41" customFormat="1" ht="12.75">
      <c r="A389" s="155">
        <f t="shared" si="13"/>
        <v>322</v>
      </c>
      <c r="B389" s="46" t="s">
        <v>134</v>
      </c>
      <c r="C389" s="7" t="s">
        <v>52</v>
      </c>
      <c r="D389" s="119">
        <v>0</v>
      </c>
      <c r="E389" s="119"/>
      <c r="F389" s="119">
        <v>0</v>
      </c>
      <c r="G389" s="119">
        <v>0</v>
      </c>
      <c r="H389" s="51"/>
      <c r="I389" s="149"/>
      <c r="J389" s="138"/>
    </row>
    <row r="390" spans="1:10" s="75" customFormat="1" ht="15">
      <c r="A390" s="155">
        <f>A389+1</f>
        <v>323</v>
      </c>
      <c r="B390" s="38">
        <v>921</v>
      </c>
      <c r="C390" s="38" t="s">
        <v>172</v>
      </c>
      <c r="D390" s="121"/>
      <c r="E390" s="121"/>
      <c r="F390" s="121"/>
      <c r="G390" s="121"/>
      <c r="H390" s="74"/>
      <c r="I390" s="151"/>
      <c r="J390" s="152"/>
    </row>
    <row r="391" spans="1:10" s="75" customFormat="1" ht="15">
      <c r="A391" s="155">
        <f>A390+1</f>
        <v>324</v>
      </c>
      <c r="B391" s="38"/>
      <c r="C391" s="38" t="s">
        <v>171</v>
      </c>
      <c r="D391" s="122">
        <f>D392</f>
        <v>100000</v>
      </c>
      <c r="E391" s="121"/>
      <c r="F391" s="122">
        <f>F392</f>
        <v>100000</v>
      </c>
      <c r="G391" s="122">
        <f>G392</f>
        <v>0</v>
      </c>
      <c r="H391" s="74"/>
      <c r="I391" s="151"/>
      <c r="J391" s="138">
        <f>G391/G$394</f>
        <v>0</v>
      </c>
    </row>
    <row r="392" spans="1:10" s="80" customFormat="1" ht="12.75">
      <c r="A392" s="155">
        <f>A391+1</f>
        <v>325</v>
      </c>
      <c r="B392" s="66">
        <v>92109</v>
      </c>
      <c r="C392" s="66" t="s">
        <v>243</v>
      </c>
      <c r="D392" s="123">
        <f>D393</f>
        <v>100000</v>
      </c>
      <c r="E392" s="124"/>
      <c r="F392" s="123">
        <f>F393</f>
        <v>100000</v>
      </c>
      <c r="G392" s="123">
        <f>G393</f>
        <v>0</v>
      </c>
      <c r="H392" s="79"/>
      <c r="I392" s="153"/>
      <c r="J392" s="138">
        <f>G392/G$394</f>
        <v>0</v>
      </c>
    </row>
    <row r="393" spans="1:10" s="81" customFormat="1" ht="12.75">
      <c r="A393" s="155">
        <f>A392+1</f>
        <v>326</v>
      </c>
      <c r="B393" s="157">
        <v>2020</v>
      </c>
      <c r="C393" s="158" t="s">
        <v>191</v>
      </c>
      <c r="D393" s="159">
        <v>100000</v>
      </c>
      <c r="E393" s="160"/>
      <c r="F393" s="159">
        <v>100000</v>
      </c>
      <c r="G393" s="159">
        <v>0</v>
      </c>
      <c r="H393" s="161"/>
      <c r="I393" s="162"/>
      <c r="J393" s="150">
        <f>G393/G$394</f>
        <v>0</v>
      </c>
    </row>
    <row r="394" spans="1:10" s="6" customFormat="1" ht="12.75">
      <c r="A394" s="163">
        <f>A393+1</f>
        <v>327</v>
      </c>
      <c r="B394" s="87"/>
      <c r="C394" s="5" t="s">
        <v>6</v>
      </c>
      <c r="D394" s="126">
        <f>D391+D387+D365+D321+D274+D248+D192+D185+D178+D165+D134+D121+D80+D75+D61+D57</f>
        <v>23457464</v>
      </c>
      <c r="E394" s="126" t="e">
        <f>E387+E365+#REF!+E274+E248+E192+E185+E165+E134+#REF!+E80+E75+E61+#REF!+#REF!+E321</f>
        <v>#REF!</v>
      </c>
      <c r="F394" s="126">
        <f>F391+F387+F365+F321+F274+F248+F192+F185+F178+F165+F134+F121+F80+F75+F61+F57</f>
        <v>22459771</v>
      </c>
      <c r="G394" s="126">
        <f>G391+G387+G365+G321+G274+G248+G192+G185+G178+G165+G134+G121+G80+G75+G61+G57</f>
        <v>27772994</v>
      </c>
      <c r="H394" s="127" t="e">
        <f>#REF!+H387+H365+#REF!+H274+H248+H192+H185+H165+H134+#REF!+H80+H75+H61+#REF!</f>
        <v>#REF!</v>
      </c>
      <c r="I394" s="156">
        <f>G394/F394</f>
        <v>1.2365662143215974</v>
      </c>
      <c r="J394" s="140">
        <f>G394/G$394</f>
        <v>1</v>
      </c>
    </row>
  </sheetData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2006-12-22T12:01:28Z</cp:lastPrinted>
  <dcterms:created xsi:type="dcterms:W3CDTF">2000-09-26T13:15:05Z</dcterms:created>
  <dcterms:modified xsi:type="dcterms:W3CDTF">2006-12-22T12:01:38Z</dcterms:modified>
  <cp:category/>
  <cp:version/>
  <cp:contentType/>
  <cp:contentStatus/>
</cp:coreProperties>
</file>