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<sst xmlns="http://schemas.openxmlformats.org/spreadsheetml/2006/main" count="1193" uniqueCount="637">
  <si>
    <t>a) zestawienie wydatków wg działów</t>
  </si>
  <si>
    <t>Przewidywane</t>
  </si>
  <si>
    <t>%</t>
  </si>
  <si>
    <t>Struktura</t>
  </si>
  <si>
    <t>Lp.</t>
  </si>
  <si>
    <t>Dz.-rozdz.-&amp;</t>
  </si>
  <si>
    <t xml:space="preserve">                      Treść</t>
  </si>
  <si>
    <t>Wykonanie</t>
  </si>
  <si>
    <t>w roku 1997r.</t>
  </si>
  <si>
    <t>OŚWIATA  I  WYCHOWANIE</t>
  </si>
  <si>
    <t>OCHRONA  ZDROWIA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</si>
  <si>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</si>
  <si>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</si>
  <si>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</si>
  <si>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</si>
  <si>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</si>
  <si>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</si>
  <si>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</si>
  <si>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</si>
  <si>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oznakowanie  i urządz.zabezp.ulic</t>
  </si>
  <si>
    <t>inne</t>
  </si>
  <si>
    <t>miasto</t>
  </si>
  <si>
    <t>plaża</t>
  </si>
  <si>
    <t>"akcja zimowa-zadania własne"</t>
  </si>
  <si>
    <t>remont zejścia na plażę Lubiewo</t>
  </si>
  <si>
    <t>sołectwa</t>
  </si>
  <si>
    <t>odkomarzanie</t>
  </si>
  <si>
    <t>konserwacja oświetlenia</t>
  </si>
  <si>
    <t>Pozostała działalność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</si>
  <si>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</si>
  <si>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</si>
  <si>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</si>
  <si>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</si>
  <si>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</si>
  <si>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</si>
  <si>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</si>
  <si>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</si>
  <si>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</si>
  <si>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</si>
  <si>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</si>
  <si>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wykazy zmian gruntowych</t>
  </si>
  <si>
    <t>różne wydatki na rzecz osób fizycznych</t>
  </si>
  <si>
    <t>wyceny nieruchomości /mieszkaniówka/</t>
  </si>
  <si>
    <t>wyceny nieruchomości/geodezja/</t>
  </si>
  <si>
    <t>różne opłaty i składki</t>
  </si>
  <si>
    <t>nagrody i wydatki osob.nie zaliczane...</t>
  </si>
  <si>
    <t>stypendia różne</t>
  </si>
  <si>
    <t>podróże służbowe zagraniczne</t>
  </si>
  <si>
    <t>odpisy na zakł.fund.św.socjalnych</t>
  </si>
  <si>
    <t>składki na ubezpieczenia sopłeczne</t>
  </si>
  <si>
    <t>odpisy na zakład.fund.świadcz.socjal.</t>
  </si>
  <si>
    <t>Dowożenie uczniów do szkół</t>
  </si>
  <si>
    <t>gimnazjum</t>
  </si>
  <si>
    <t>odpisy na zakład.fund.św.socjalnych</t>
  </si>
  <si>
    <t>Biblioteki</t>
  </si>
  <si>
    <t>Przeciwdziałanie alkoholizmowi</t>
  </si>
  <si>
    <t>szkolenia</t>
  </si>
  <si>
    <t>czynsz</t>
  </si>
  <si>
    <t>terapia</t>
  </si>
  <si>
    <t>odpisy na zakład. fundusz św.socjal.</t>
  </si>
  <si>
    <t>świadczenia społeczne</t>
  </si>
  <si>
    <t>zadania zlecone</t>
  </si>
  <si>
    <t>zadania własne</t>
  </si>
  <si>
    <t>podóże służbowe krajowe</t>
  </si>
  <si>
    <t>delegacje</t>
  </si>
  <si>
    <t>delegacje samochodowe</t>
  </si>
  <si>
    <t>opłaty pocztowe</t>
  </si>
  <si>
    <t>składki na ubezpiecznia społeczne</t>
  </si>
  <si>
    <t>odpisy na zakład. fundusz świad. socj.</t>
  </si>
  <si>
    <t>Dodatki mieszkaniowe</t>
  </si>
  <si>
    <t>ratownicy/kąpielisko strzeżone/</t>
  </si>
  <si>
    <t>Związek Miast i Gmin Morskich</t>
  </si>
  <si>
    <t>Urzędy wojewódzkie</t>
  </si>
  <si>
    <t>Dodatkowe wynagrodzenie roczne</t>
  </si>
  <si>
    <t>Podróże służbowe krajowe</t>
  </si>
  <si>
    <t>Składki na ubezpieczenie społeczne</t>
  </si>
  <si>
    <t>Składki na Fundusz Pracy</t>
  </si>
  <si>
    <t>Odpisy na zakład.fundusz św.socjal.</t>
  </si>
  <si>
    <t>Wynagrodzenia osobowe pracowników</t>
  </si>
  <si>
    <t>Różne wydatki na rzecz osób fiz.(diety)</t>
  </si>
  <si>
    <t>reprezentacyjne i inne</t>
  </si>
  <si>
    <t>odzież ochronna i robocza</t>
  </si>
  <si>
    <t>okulary korygujące wzrok-praca z monitorem</t>
  </si>
  <si>
    <t>Różne wydatki na rzecz osób fizyczn.</t>
  </si>
  <si>
    <t>ryczałty</t>
  </si>
  <si>
    <t>Podróże służbowe zagraniczne</t>
  </si>
  <si>
    <t>materiały biurowe</t>
  </si>
  <si>
    <t>materiały biurowe - eksploatacyjne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</si>
  <si>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</si>
  <si>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</si>
  <si>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</si>
  <si>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</si>
  <si>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</si>
  <si>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</si>
  <si>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</si>
  <si>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opłaty telekomunikacyjne</t>
  </si>
  <si>
    <t>naprawa i konserwacja maszyn</t>
  </si>
  <si>
    <t>wywóz nieczystości</t>
  </si>
  <si>
    <t>prowizja bankowa</t>
  </si>
  <si>
    <t>usługi komputerowe</t>
  </si>
  <si>
    <t>monitoring</t>
  </si>
  <si>
    <t>konserwacja systemu alarmowego</t>
  </si>
  <si>
    <t>Różne opłaty i składki</t>
  </si>
  <si>
    <t>PZU</t>
  </si>
  <si>
    <t>Odpisy na zakł.fun.świadczeń socj.</t>
  </si>
  <si>
    <t>Komisje poborowe</t>
  </si>
  <si>
    <t>opłata miejscowa</t>
  </si>
  <si>
    <t>opłata targowa</t>
  </si>
  <si>
    <t>inne podatki i opłaty</t>
  </si>
  <si>
    <t>zastępcza służba wojskowa</t>
  </si>
  <si>
    <t>umundurowanie</t>
  </si>
  <si>
    <t>paliwo</t>
  </si>
  <si>
    <t>Straż Miejska</t>
  </si>
  <si>
    <t>Odpisy na zakł.fund.św.socjal.</t>
  </si>
  <si>
    <t>Komendy powiatowe Policji</t>
  </si>
  <si>
    <t>RÓŻNE ROZLICZENIA</t>
  </si>
  <si>
    <t>Rezerwy ogólne i celowe</t>
  </si>
  <si>
    <t>rezerwy</t>
  </si>
  <si>
    <t>ogólna</t>
  </si>
  <si>
    <t>O10</t>
  </si>
  <si>
    <t>O1095</t>
  </si>
  <si>
    <t>TRANSPORT  I  ŁĄCZNOŚĆ</t>
  </si>
  <si>
    <t>ROLNICTWO I ŁOWIECTWO</t>
  </si>
  <si>
    <t>Drogi publiczne powiatowe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</si>
  <si>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</si>
  <si>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</si>
  <si>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</si>
  <si>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</si>
  <si>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</si>
  <si>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</si>
  <si>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</si>
  <si>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</si>
  <si>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</si>
  <si>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</si>
  <si>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</si>
  <si>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</si>
  <si>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</si>
  <si>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</si>
  <si>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</si>
  <si>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</si>
  <si>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</si>
  <si>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</si>
  <si>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</si>
  <si>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</si>
  <si>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</si>
  <si>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</si>
  <si>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</si>
  <si>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</si>
  <si>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</si>
  <si>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</si>
  <si>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</si>
  <si>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</si>
  <si>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</si>
  <si>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</si>
  <si>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</si>
  <si>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</si>
  <si>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</si>
  <si>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</si>
  <si>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</si>
  <si>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</si>
  <si>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</si>
  <si>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</si>
  <si>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</si>
  <si>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</si>
  <si>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osób fizycznych</t>
  </si>
  <si>
    <t>zakup energii</t>
  </si>
  <si>
    <t>Wynagrodzenia agencyjno-prowizyjne</t>
  </si>
  <si>
    <t>odsetki i dyskonto od krajowych skarbowych</t>
  </si>
  <si>
    <t>papierów wart.oraz pożyczek i kredytów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</si>
  <si>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</si>
  <si>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</si>
  <si>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</si>
  <si>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</si>
  <si>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</si>
  <si>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budżetowych</t>
  </si>
  <si>
    <t>szkoła nr 1</t>
  </si>
  <si>
    <t>szkoła nr 2</t>
  </si>
  <si>
    <t>KULTURA FIZYCZNA I SPORT</t>
  </si>
  <si>
    <t xml:space="preserve">aktualizacja mapy </t>
  </si>
  <si>
    <t>OGÓŁEM</t>
  </si>
  <si>
    <t>KULTURA FIZYCZNA  I  SPORT</t>
  </si>
  <si>
    <t>dotacja przedmiotowa z budżetu dla zakładu</t>
  </si>
  <si>
    <t>usługi prawne i inne</t>
  </si>
  <si>
    <t>wydatki na zakupy inwestycyjne jedn.bud.</t>
  </si>
  <si>
    <t>kredyt w rachunku bieżącym</t>
  </si>
  <si>
    <t>Różne rozliczenia finansowe</t>
  </si>
  <si>
    <t>wpłaty gmin do budżetu państwa</t>
  </si>
  <si>
    <t>wpłaty na PFRON</t>
  </si>
  <si>
    <t>Wpłaty na PFRON</t>
  </si>
  <si>
    <t>remonty ulic w mieście i sołectwach</t>
  </si>
  <si>
    <t>remont chodników w mieście i sołectwach</t>
  </si>
  <si>
    <t>Składki na ubezpieczenia społeczne</t>
  </si>
  <si>
    <t>Plan  na  rok 2001</t>
  </si>
  <si>
    <t>przed</t>
  </si>
  <si>
    <t>zmianami</t>
  </si>
  <si>
    <t>kol.6/5</t>
  </si>
  <si>
    <t>O1030</t>
  </si>
  <si>
    <t>Izby rolnicze</t>
  </si>
  <si>
    <t>wpłaty gmin na rzecz izb rolniczych  w wysokości</t>
  </si>
  <si>
    <t>2% uzyskanych wpływów z podatku rolnego</t>
  </si>
  <si>
    <t>Cmentarze</t>
  </si>
  <si>
    <t>promocja</t>
  </si>
  <si>
    <t>inne opłaty</t>
  </si>
  <si>
    <t>pożyczka z WFOŚ na termomodernizację</t>
  </si>
  <si>
    <t>kredyt termomodernizacyjny- 229.276 zł</t>
  </si>
  <si>
    <t xml:space="preserve">Szkoły podstawowe          </t>
  </si>
  <si>
    <t xml:space="preserve">Gimnazja                 </t>
  </si>
  <si>
    <t>rozmowy telefoniczne</t>
  </si>
  <si>
    <t>wydatki na zakupy inwestycyjne jedn.budżet.</t>
  </si>
  <si>
    <t xml:space="preserve">Stołówki szkolne                </t>
  </si>
  <si>
    <t>Zakłady gospodarki komunalnej</t>
  </si>
  <si>
    <t xml:space="preserve">Stowarzysz.Gmin Polskich Euroregionu Pomerania </t>
  </si>
  <si>
    <t xml:space="preserve">zmiany </t>
  </si>
  <si>
    <t>plus/minus</t>
  </si>
  <si>
    <t>wykonanie</t>
  </si>
  <si>
    <t>wynagrodz.osob.prac.(nagrody dla dyrektorów)</t>
  </si>
  <si>
    <t xml:space="preserve">Plan na </t>
  </si>
  <si>
    <t>Przewidyw.</t>
  </si>
  <si>
    <t xml:space="preserve">place zabaw </t>
  </si>
  <si>
    <t>toalety na odcinku od Gromady do Lubiewa</t>
  </si>
  <si>
    <t>plan zagospodarowania przestrzennego</t>
  </si>
  <si>
    <t xml:space="preserve">programy komputerowe </t>
  </si>
  <si>
    <t>pozostałe odsetki</t>
  </si>
  <si>
    <t>Dokształcanie i doskonalenie nauczycieli</t>
  </si>
  <si>
    <t>przedszkole</t>
  </si>
  <si>
    <t>Składki na ubezpieczenie zdrowotne opłacane</t>
  </si>
  <si>
    <t>za osoby pobierające niektóre świadczenia</t>
  </si>
  <si>
    <t>składki na ubezpieczenie zdrowotne</t>
  </si>
  <si>
    <t>zakup energii (oświetlenie ulic)</t>
  </si>
  <si>
    <t>majątkowe(inwestycyjne)</t>
  </si>
  <si>
    <t>wydatki inwestycyjne jednostek budżetowych</t>
  </si>
  <si>
    <t>wskażnik</t>
  </si>
  <si>
    <t>planu</t>
  </si>
  <si>
    <t>Koszty postępowania sądowego i prokuratorsk.</t>
  </si>
  <si>
    <t>na ubezpieczenia społeczne</t>
  </si>
  <si>
    <t>wydatki inwestycyjne jedn.budżetowych</t>
  </si>
  <si>
    <t xml:space="preserve">Plan po </t>
  </si>
  <si>
    <t>połączenie nieruchomości</t>
  </si>
  <si>
    <t>wznowienie granic nieruchomości</t>
  </si>
  <si>
    <t>(diety sołtysów)</t>
  </si>
  <si>
    <t>zakup energii (kotłownia Urzędu)</t>
  </si>
  <si>
    <t>kary i odszkodowania wypłacane na rzecz…..</t>
  </si>
  <si>
    <t>dot.celowe na fin.lub dofin.kosztow real.inw...</t>
  </si>
  <si>
    <t>ogłoszenia o przetargach i inne ogł./geodezja/</t>
  </si>
  <si>
    <t>ogłosz.o przetargach i in.ogł. /mieszkaniówka/</t>
  </si>
  <si>
    <t>POMOC  SPOŁECZNA</t>
  </si>
  <si>
    <t xml:space="preserve">Przedszkola </t>
  </si>
  <si>
    <t>akty normatywne</t>
  </si>
  <si>
    <t>konserwacja i modernizacja systemu łączności</t>
  </si>
  <si>
    <t>ogłoszenia o przetargach i inne ogłoszenia</t>
  </si>
  <si>
    <t>dot.dla ZWiK- stacja uzdatniania wody</t>
  </si>
  <si>
    <t>dofinans.opieki nad dziećmi w ramach GPPiRPA</t>
  </si>
  <si>
    <t>koszty postępowania sądowego i prokuratorsk.</t>
  </si>
  <si>
    <t>(koszty sąd.zw.z wydaniem nieruch.przez FWP)</t>
  </si>
  <si>
    <t>decyzje o warunkach zabudowy</t>
  </si>
  <si>
    <t>aktual.progr.komputer. i usługi serwisowe</t>
  </si>
  <si>
    <t>Komendy Powiat.Państwowej Straży Pożar.</t>
  </si>
  <si>
    <t>kredyt - 1.550.000 zł ( 7 lat)</t>
  </si>
  <si>
    <t>kredyt - 6.350.000 zł ( 10 lat)</t>
  </si>
  <si>
    <t>wydatki  inwestycyjne jednostek</t>
  </si>
  <si>
    <t>wydatki na zkupy inwestyc. jednostek budżet.</t>
  </si>
  <si>
    <t>dotacja celowa z budżetu na fianasow.lub</t>
  </si>
  <si>
    <t>dofinans.zadań zleconych do realiz.stowarzysz.</t>
  </si>
  <si>
    <t>świadczenia opiekuńcze</t>
  </si>
  <si>
    <t>składki na uezpieczenia społeczne</t>
  </si>
  <si>
    <t>składki na ub.społeczne-świadczenia rodzinne</t>
  </si>
  <si>
    <t>świadczenia  rodzinne</t>
  </si>
  <si>
    <t>zakup materiałów i wyposażenia(bezdomne psy)</t>
  </si>
  <si>
    <t>dotacja celowa z budżetu na finans.lub dofinas.</t>
  </si>
  <si>
    <t>zadań zleconych do realizacji fundacjom</t>
  </si>
  <si>
    <t>(Wakacyjny Festiwal Gwiazd)</t>
  </si>
  <si>
    <t>(Festiwal Pieśni Chóralnej)</t>
  </si>
  <si>
    <t>zadań zleconych do realizacji stowarzyszeniom</t>
  </si>
  <si>
    <t>zakup usług remontowych (stadion)</t>
  </si>
  <si>
    <t>zakup materiałów sygn.włamania i p.poż.</t>
  </si>
  <si>
    <t>USC</t>
  </si>
  <si>
    <t>ewidencja ludności</t>
  </si>
  <si>
    <t>gminna komisja urbanistyczna</t>
  </si>
  <si>
    <t>promocja sprzedaży nieruchomości</t>
  </si>
  <si>
    <t>(nauczyciele emeryci)</t>
  </si>
  <si>
    <t xml:space="preserve">opieka nad bezdomnymi psami, </t>
  </si>
  <si>
    <t>inne materiały i wyposażenie</t>
  </si>
  <si>
    <t>zadania własne - zasiłki okresowe</t>
  </si>
  <si>
    <t>kotłownia urzędu</t>
  </si>
  <si>
    <t>wynajem biura -Powiatowy Urząd Pracy</t>
  </si>
  <si>
    <t xml:space="preserve">z pomocy społecznej oraz niektóre </t>
  </si>
  <si>
    <t>świadczenia rodzinne</t>
  </si>
  <si>
    <t>a także szkolenia młodzieży</t>
  </si>
  <si>
    <t>wynagrodzenia bezosobowe</t>
  </si>
  <si>
    <t>wynagrodzenia bezosobowe(dozorow.obiektu)</t>
  </si>
  <si>
    <t xml:space="preserve">wynagrodzenia bezosobowe </t>
  </si>
  <si>
    <t>dotacja podmiotowa z budżetu dla</t>
  </si>
  <si>
    <t>samorządowej instytucji kultury</t>
  </si>
  <si>
    <t>zakup usług przez jedn.samorz.teryt.od innych</t>
  </si>
  <si>
    <t xml:space="preserve">jedn.sam.teryt. ( opłaty za pobyt w domu </t>
  </si>
  <si>
    <t>pomocy społecznej)</t>
  </si>
  <si>
    <t>Wydatki osobowe niezaliczone do wynagrodzeń</t>
  </si>
  <si>
    <t>wydatki osobowe niezaliczone do wynagrodzeń</t>
  </si>
  <si>
    <t>OBRONA  NARODOWA</t>
  </si>
  <si>
    <t>Pozostałe wydatki obronne</t>
  </si>
  <si>
    <t>wynagrodzenia bezosobowe(eksp.egzamin.)</t>
  </si>
  <si>
    <t>dotacje celowe przekazane do samorządu</t>
  </si>
  <si>
    <t>województwa na inwestycje i zakupy inwestyc.</t>
  </si>
  <si>
    <t>realizowane na podstawie porozumień(umów)</t>
  </si>
  <si>
    <t>między jednostkami samorz.teryt.(realizacja</t>
  </si>
  <si>
    <t>umowy 4/2004 z dnia 23.07.2004r.)</t>
  </si>
  <si>
    <t xml:space="preserve">zmianach na </t>
  </si>
  <si>
    <t>dotacje celowe przekazane dla powiatu na</t>
  </si>
  <si>
    <t>inwestycje i zakupy inwestycyjne realizowane</t>
  </si>
  <si>
    <t>na podstawie porozumień między j.s.t.</t>
  </si>
  <si>
    <t>budowa targowiska</t>
  </si>
  <si>
    <t xml:space="preserve">kotłownia w szkole nr 1-zmiana paliwa </t>
  </si>
  <si>
    <t>odpadów komunalnych w Międzyzdrojach</t>
  </si>
  <si>
    <t>monitoring składowiska odpadów</t>
  </si>
  <si>
    <t>zakup usług pozostałych (dopłaty do biletów</t>
  </si>
  <si>
    <t>z art..18a ustawy o transporcie drogowym)</t>
  </si>
  <si>
    <t>dokumnt.techn.i budowa kan.sanit.w ul.Kolonijnej</t>
  </si>
  <si>
    <t>utrzymanie dróg powiatowych</t>
  </si>
  <si>
    <t>zakup usług pozostałych(rozbiórki budynków)</t>
  </si>
  <si>
    <t xml:space="preserve">zakup usług remontowych (remont </t>
  </si>
  <si>
    <t>pomieszczeń biurowych urzędu)</t>
  </si>
  <si>
    <t xml:space="preserve">zakup sprzętu niezbędnego do wdrożenia </t>
  </si>
  <si>
    <t>gaz</t>
  </si>
  <si>
    <t>Związek Miast Polskich</t>
  </si>
  <si>
    <t>Wybory do rad gmin....oraz referenda....</t>
  </si>
  <si>
    <t>wpłaty jednostek na fundusz celowy</t>
  </si>
  <si>
    <t>inne formy pomocy dla uczniów</t>
  </si>
  <si>
    <t>wynagrodzenia  bezosobowe</t>
  </si>
  <si>
    <t xml:space="preserve">(dla nauczycieli emerytów) </t>
  </si>
  <si>
    <t>w przedszkolu</t>
  </si>
  <si>
    <t>umowy zlecenia  GKRPA</t>
  </si>
  <si>
    <t>wynagrodzenia członków GKRPA</t>
  </si>
  <si>
    <t>przystosowanie auli w szkole nr 1 do zajęć sport.</t>
  </si>
  <si>
    <t>zaliczki alimentacyjne</t>
  </si>
  <si>
    <t>Pomoc materialna dla uczniów</t>
  </si>
  <si>
    <t>miasto i promenada</t>
  </si>
  <si>
    <t>iluminacja świąteczna i inne prace</t>
  </si>
  <si>
    <t>kary i odszkodowania wypłacane na rzecz osób</t>
  </si>
  <si>
    <t>prawnych i innych jednostek organizacyjnych</t>
  </si>
  <si>
    <t>dotacje celowe przekazane gminie na inwestycje</t>
  </si>
  <si>
    <t>i zakupy inwestycyjne realizowane na podstwie</t>
  </si>
  <si>
    <t>porozumień między jst (schronisko dla zwierząt)</t>
  </si>
  <si>
    <t>podstawowych</t>
  </si>
  <si>
    <t xml:space="preserve">Oddziały przedszkolne w szkołach </t>
  </si>
  <si>
    <t>dotacje celowe z budżetu na finansowanie i dofin.</t>
  </si>
  <si>
    <t>kosztów realizacji inwestycji i zakupów inwestyc.</t>
  </si>
  <si>
    <t>innych jedn.sektora finansów publicznych</t>
  </si>
  <si>
    <t>(dotacja dla ZGWW)</t>
  </si>
  <si>
    <t>stypendia dla uczniów</t>
  </si>
  <si>
    <t>(zadania w zakresie kult.fizycznej i sportu)</t>
  </si>
  <si>
    <t>budowa oświetlenia-ul.Turystyczna,Pl.Neptuna</t>
  </si>
  <si>
    <t>budowa oświetlenia-ul.Usługowa</t>
  </si>
  <si>
    <t>wynagrodzenia-zadania zlecone</t>
  </si>
  <si>
    <t>wynagrodzenia-zadania własne</t>
  </si>
  <si>
    <t>odpisy na zakład. fundusz świad. socj.(zad.własne)</t>
  </si>
  <si>
    <t>składki na ub.społeczne pracownika-zad.własne</t>
  </si>
  <si>
    <t>dodatkowe wynagrodzenie roczne (zad.własne)</t>
  </si>
  <si>
    <t>dokum.techn.i budowa-oświetl.Góra Filaretów</t>
  </si>
  <si>
    <t>dokument.techn.na wykon.oświetl.ul.Turkusowa</t>
  </si>
  <si>
    <t>komputeryzacja urzędu</t>
  </si>
  <si>
    <t>kształcenia młodocianych)</t>
  </si>
  <si>
    <t>zakup usług pozostałych(dofinans. kosztów</t>
  </si>
  <si>
    <t>(stypendium szkolne-pomoc socjalna)</t>
  </si>
  <si>
    <t>na finansowanie lub dofinansowanie</t>
  </si>
  <si>
    <t>zadań inwestycyjnych</t>
  </si>
  <si>
    <t>ekwiwalent za używanie odzieży</t>
  </si>
  <si>
    <t>nadzór -"Przebudowa drogi Nr 102 w m.M-je"</t>
  </si>
  <si>
    <t>na podstawie porozumień między jed.sam.teryt.</t>
  </si>
  <si>
    <t xml:space="preserve">inwestycje i zakupy inwestycyjne realizowane </t>
  </si>
  <si>
    <t xml:space="preserve">("Modernizacja drogi Wapnica-Wicko w gminie </t>
  </si>
  <si>
    <t>Międzyzdroje"-50% udział Gminy)</t>
  </si>
  <si>
    <t>opracowanie dokumentacji bud.mieszkaln.</t>
  </si>
  <si>
    <t>wpłaty gmin i powiatów na rzecz innych jst oraz</t>
  </si>
  <si>
    <t>związków gmin lub zw.powiatów na dof.zad.bież.</t>
  </si>
  <si>
    <t>Związek Gmin Wyspy Wolin</t>
  </si>
  <si>
    <t>(szkoła nr 1)</t>
  </si>
  <si>
    <t>dotacja celowa z budżetu na finansowanie lub</t>
  </si>
  <si>
    <t>dofinans.zadań zleconych do realizacji stowarzysz.</t>
  </si>
  <si>
    <t>składki na ub.społeczne pracownika-zad.zlecone</t>
  </si>
  <si>
    <t>składki na Fundusz Pracy -zadania  własne</t>
  </si>
  <si>
    <t>składki na Fundusz Pracy -zadania  zlecone</t>
  </si>
  <si>
    <t xml:space="preserve">składki na Fundusz Pracy </t>
  </si>
  <si>
    <t>zakup materiałów i wyposażenia(zad.zlecone)</t>
  </si>
  <si>
    <t>zakup usług pozostałych (zad.zlecone)</t>
  </si>
  <si>
    <t>wydatki na zakupy inwest.- zad.własne</t>
  </si>
  <si>
    <t>wydatki na zakupy inwest.- zad.zlecone</t>
  </si>
  <si>
    <t>Zwalczanie narkomanii</t>
  </si>
  <si>
    <t>modernizacja chodników w mieście</t>
  </si>
  <si>
    <t>różne opłaty i składki (opł.z tyt.wieczyst.użytk.)</t>
  </si>
  <si>
    <t>rozbiórki budynków</t>
  </si>
  <si>
    <t>wydatki związane z utrzym.bud.i lokali mieszk.</t>
  </si>
  <si>
    <t>oraz wymiana stolarki drzwiowej)</t>
  </si>
  <si>
    <t>modernizacja budynku urzędu (remont dachu</t>
  </si>
  <si>
    <t>i pomieszcz.w przyziemu , ocieplenie i elewacja</t>
  </si>
  <si>
    <t xml:space="preserve">rezerwy na inwestycje i zakupy inwestycyjne </t>
  </si>
  <si>
    <t>(adaptacja budynku dla potrzeb urzędu)</t>
  </si>
  <si>
    <t>zakup usług zdrowotnych</t>
  </si>
  <si>
    <t>oraz skł.na ubezp.emeryt.i rent.z ubezp.społ.</t>
  </si>
  <si>
    <t>Świadczenia rodzinne, zaliczka alimentac.</t>
  </si>
  <si>
    <t>sporządzenie audytu uzdrowiskowego</t>
  </si>
  <si>
    <t>dokument.techn. Sali gimnastycznej-Szkoła nr 1</t>
  </si>
  <si>
    <t>składki na ubezpiecz.społ.(sekcje sportowe)</t>
  </si>
  <si>
    <t>składki na Fundusz Pracy(sekcje sportowe)</t>
  </si>
  <si>
    <t>wynagrodzenia bezosobowe (sekcje sportowe)</t>
  </si>
  <si>
    <t>zakup materiałów i wyposażenie (sekcje sportowe)</t>
  </si>
  <si>
    <t>zakup usług pozostałych(sekcje sportowe )</t>
  </si>
  <si>
    <t>podróże służbowe krajowe(sekcje sportowe)</t>
  </si>
  <si>
    <t>różne opłaty i składki (sekcje sportowe)</t>
  </si>
  <si>
    <t>Planowane wydatki na rok 2007 w porównaniu z przewidywanym wykonaniem roku 2006</t>
  </si>
  <si>
    <t>30.10.2006r.</t>
  </si>
  <si>
    <t>2006r.</t>
  </si>
  <si>
    <t>2007 r.</t>
  </si>
  <si>
    <t>zakup materiałów i wyposażenia(ptasia grypa)</t>
  </si>
  <si>
    <t>zakup usług pozostałych(ptasia grypa)</t>
  </si>
  <si>
    <t>dokumnt.techn.i bud.sieci wod.kan.w ul.Geodezyjnej</t>
  </si>
  <si>
    <t>budowa przył.san.wraz z likwidacją szamba</t>
  </si>
  <si>
    <t>budowa dwóch przył.-ul.Nadbrzeżna 15(ZGWW)</t>
  </si>
  <si>
    <t xml:space="preserve">różne opłaty i składki </t>
  </si>
  <si>
    <t>opłaty za korzystanie ze środowiska</t>
  </si>
  <si>
    <t>opłata za umieszcz.w pasie drog.urządz.infrastr.</t>
  </si>
  <si>
    <t>dokumentacja i bud.-przeniesienie uzbrojenia</t>
  </si>
  <si>
    <t>w ul.Zwycięstwa</t>
  </si>
  <si>
    <t>odwodnienie w ul.Kościuszki</t>
  </si>
  <si>
    <t>modern.drogi-Góra Filaretów</t>
  </si>
  <si>
    <t>projekt techniczny ul.Ludowej i dokończenie</t>
  </si>
  <si>
    <t>modern.-1000 lecia PP</t>
  </si>
  <si>
    <t>4 wpusty do kan.deszcz.w ul.Kościuszki</t>
  </si>
  <si>
    <t>projekt techn.na modern.drogi w ul.Komunalnej</t>
  </si>
  <si>
    <t>zakup materiałów i wyposażenia(ratownicy)</t>
  </si>
  <si>
    <t>zabezpieczenie pom.socjalnego</t>
  </si>
  <si>
    <t>różne opłaty i składki(ubezp.plaży i skutera)</t>
  </si>
  <si>
    <t>dotacja przedmiotowa z budżetu dla zakł.budż.(ZOŚ)</t>
  </si>
  <si>
    <t>rekompensata za drogę,chodnik i bud.Norwida</t>
  </si>
  <si>
    <t>inne wydatki(dozorowanie)</t>
  </si>
  <si>
    <t xml:space="preserve">rozliczenie umowy z PZM- pokrycie zobow. </t>
  </si>
  <si>
    <t>dotacja przedmiotowa z budż.dla zakł.budż.(ZOŚ)</t>
  </si>
  <si>
    <t>materiały do remontu</t>
  </si>
  <si>
    <t>wyposażenie dla kasjera niepełnosprawnego</t>
  </si>
  <si>
    <t>energia-promocja</t>
  </si>
  <si>
    <t>telefoni komórkowej</t>
  </si>
  <si>
    <t>telefoni stacjonarnej</t>
  </si>
  <si>
    <t xml:space="preserve">promocja-ubezpieczenia i skł.członkowska </t>
  </si>
  <si>
    <t>podatek od towarów i usług(VAT)</t>
  </si>
  <si>
    <t>koszty postępowania egzekucyjnego</t>
  </si>
  <si>
    <t>koszty postępowania sądowego</t>
  </si>
  <si>
    <t>zakup materiałów papierniczych do sprzętu</t>
  </si>
  <si>
    <t>drukarskiego i urządzeń kserograficznych</t>
  </si>
  <si>
    <t>zakup akcesoriów komputerowych,w tym</t>
  </si>
  <si>
    <t>programów i licencji</t>
  </si>
  <si>
    <t>rozbudowa centrali telefonicznej</t>
  </si>
  <si>
    <t>energia-skrzynka energ.-promocja</t>
  </si>
  <si>
    <t>(ubezpieczenie kotłowni urzędu)</t>
  </si>
  <si>
    <t>radiowóz dla Komendy Powiatowej Policji</t>
  </si>
  <si>
    <t>alkotest,2 komputery,aparat cyfrowy……</t>
  </si>
  <si>
    <t>(dofin.zak.samoch.ratowniczo-gaśniczego)</t>
  </si>
  <si>
    <t xml:space="preserve">udział własny Gminy-zakup samochodu </t>
  </si>
  <si>
    <t>zakup aparatów oddechowych</t>
  </si>
  <si>
    <t>materiały- OC</t>
  </si>
  <si>
    <t>materiały-centrum kryzysowe</t>
  </si>
  <si>
    <t>wydatki na zakupy inwest.jedn.budżet.</t>
  </si>
  <si>
    <t>wydatki na zakupy inwest.jedn.budżet.(zakup</t>
  </si>
  <si>
    <t>komputera-centrum kryzysowe)</t>
  </si>
  <si>
    <t>zakup energii(woda na cele przeciwpożarowe)</t>
  </si>
  <si>
    <t>zakup materiałów i wyposażenia(Szkoła nr 1</t>
  </si>
  <si>
    <t>program Socrates-Cumenius)</t>
  </si>
  <si>
    <t xml:space="preserve">zakup usług zdrowotnych </t>
  </si>
  <si>
    <t>zakup usług pozostałych (Szkoła nr 1</t>
  </si>
  <si>
    <t>podróże służbowe zagraniczne(Szkoła nr 1</t>
  </si>
  <si>
    <t>szkoła nr 1(wymiana stolarki okiennej)</t>
  </si>
  <si>
    <t>remont schodów(Szkoła nr 1)</t>
  </si>
  <si>
    <t>wydatki inwest.jedn.budżet.(opracowanie</t>
  </si>
  <si>
    <t>dokumentacji-plac zabaw w przedszkolu)</t>
  </si>
  <si>
    <t>wydatki inwestycyjne jednostek budżet.(kotłownia)</t>
  </si>
  <si>
    <t>ocieplenie i elewacja budynku oraz kotłownia</t>
  </si>
  <si>
    <t>opłaty z tyt.zakupu usług telekomunikacyjnych</t>
  </si>
  <si>
    <t>(zestaw multimedialny)</t>
  </si>
  <si>
    <t>posiłek dla potrzebujących-z dotacji</t>
  </si>
  <si>
    <t>posiłek dla potrzebujących-budżet gminy</t>
  </si>
  <si>
    <t>prace społecznie użyteczne</t>
  </si>
  <si>
    <t>"akcja zimowa-drogi powiatowe"</t>
  </si>
  <si>
    <t>utrzymanie czystości-powiat</t>
  </si>
  <si>
    <t>szafka rozdzielczo-pomiarowa.-promocja</t>
  </si>
  <si>
    <t>budżetowego(ZOŚ-dofin.utrzym.stadionu)</t>
  </si>
  <si>
    <t>dotacja przedmiotowa z budżetu dla pozostałych</t>
  </si>
  <si>
    <t>jedn.sektora finan.publ.(dotacja dla ZGWW)</t>
  </si>
  <si>
    <t>wyposażenie komunalnego ujęcia wody</t>
  </si>
  <si>
    <t>w automatyczną stację uzdatniania</t>
  </si>
  <si>
    <t>podatek od nieruchomości</t>
  </si>
  <si>
    <t>(zakup i montaż sprzętu nagłaśniającego)</t>
  </si>
  <si>
    <t>remomty komunalnych lokali mieszkalnych-gmina</t>
  </si>
  <si>
    <t xml:space="preserve">zakup usług remontowych </t>
  </si>
  <si>
    <t>remomty komunalnych lokali mieszkalnych-MTBS</t>
  </si>
  <si>
    <t>remont mieszkań komunalnych -gmina</t>
  </si>
  <si>
    <t>zakup usług dostępu do sieci Internet</t>
  </si>
  <si>
    <t>zakup usług dostepu do sieci  Internet</t>
  </si>
  <si>
    <t>zakup działki nr 584/1 o pow.3212 m2)</t>
  </si>
  <si>
    <t xml:space="preserve">zakup 4 lokali mieszkalnych </t>
  </si>
  <si>
    <t xml:space="preserve">osób fizycznych </t>
  </si>
  <si>
    <t>odszkodowania-inne</t>
  </si>
  <si>
    <t>odszkodow. za dzaiłkę przejętą pod drogę w Wicku</t>
  </si>
  <si>
    <t>dzierżawcę na nieruchom.prz ul.Dabrówki 13</t>
  </si>
  <si>
    <t xml:space="preserve">zwrot nakładów poczynionych przez byłego </t>
  </si>
  <si>
    <t>nagrody dla dyrektorów placówek oświatowych</t>
  </si>
  <si>
    <t>nagroda Burmistrza-oświata</t>
  </si>
  <si>
    <t>zakup programów komputerowych</t>
  </si>
  <si>
    <t>aktualizacja programów i usługi serwisowe</t>
  </si>
  <si>
    <t>zakup usług pozostałych(centrum kryzysowe i inne)</t>
  </si>
  <si>
    <t>elektroniczna identyfikacja psów</t>
  </si>
  <si>
    <t>inne i deratyzacja</t>
  </si>
  <si>
    <t>opłaty czynszowe za ponieszczenia biurowe</t>
  </si>
  <si>
    <t>telefonii stacjonarnej</t>
  </si>
  <si>
    <t xml:space="preserve">zakup materiałów papierniczych do sprzetu </t>
  </si>
  <si>
    <t>szkolenia pracowników nie będących członkami</t>
  </si>
  <si>
    <t>korpusu służby cywilnej</t>
  </si>
  <si>
    <t>szkolenia pracowników niebędących członkami</t>
  </si>
  <si>
    <t>opłaty czynszowe za pomieszcznia biurowe</t>
  </si>
  <si>
    <t>telefonii stacjionarnej</t>
  </si>
  <si>
    <t>papier biurowy-inne</t>
  </si>
  <si>
    <t>opłaty czynszowe za pomieszczenia biurowe</t>
  </si>
  <si>
    <t>(Powiatowy Urząd Pracy)</t>
  </si>
  <si>
    <t xml:space="preserve">inne   </t>
  </si>
  <si>
    <t>inwentaryzacja złóż naturalnych surowców leczn.</t>
  </si>
  <si>
    <t>kredyt  na budowę budynku mieszkalnego</t>
  </si>
  <si>
    <t xml:space="preserve">rezerwy (rezerwa celowa z przeznaczeniem na </t>
  </si>
  <si>
    <t>organizację imprez kulturalno-artystycznych,m.in.</t>
  </si>
  <si>
    <t>imprezy rekreacyjno-sportowe:</t>
  </si>
  <si>
    <t>zakup energii (przepompownia melioracyjna)</t>
  </si>
  <si>
    <t>konserwacja przepompowni melioracyjnej</t>
  </si>
  <si>
    <t>aktualizacja dok.techn./budowa zjazdu na plażę</t>
  </si>
  <si>
    <t>budowa drogi w ul.Nowomyśliwskiej i Komunalnej</t>
  </si>
  <si>
    <t>dokumentacja i  utwardzenie nawierzchni</t>
  </si>
  <si>
    <t>pod punkty handlowe</t>
  </si>
  <si>
    <t>dok.tech.kan.sanit.-ul.Polna i Miernicza,</t>
  </si>
  <si>
    <t>rozbudowa sieci wod.kan -ul.Miernicza</t>
  </si>
  <si>
    <t>i budowa przyłączy / budowa</t>
  </si>
  <si>
    <t>modernizacja sieci komputerowej</t>
  </si>
  <si>
    <t>zakup kserokopiarki i sejfu / szafy metalowej</t>
  </si>
  <si>
    <t>karosowanie samochodów OSP</t>
  </si>
  <si>
    <t>wykonanie podjazdu i bramy garażowej OSP</t>
  </si>
  <si>
    <t>szkoła nr 1-remont podłączenia energetycznego</t>
  </si>
  <si>
    <t>przedszkole-plac zabaw</t>
  </si>
  <si>
    <t>gimnazjum-elewacja i docieplenie budynku</t>
  </si>
  <si>
    <t>oraz inne roboty</t>
  </si>
  <si>
    <t>gimnazjum-przebudowa  klatki schodowej</t>
  </si>
  <si>
    <t>budowa oświetlenia w ul.Turkusowej</t>
  </si>
  <si>
    <t>projekt i rekultywacja składowiska</t>
  </si>
  <si>
    <t xml:space="preserve">dotacja celowa przekazana jedn.sam.terytor. </t>
  </si>
  <si>
    <t>wdrażającą na inwestycje i zakupy inwestycyjne</t>
  </si>
  <si>
    <t>(dotacja dla m.Świnoujścia na budowę stacji</t>
  </si>
  <si>
    <t>segregacji odpadów)</t>
  </si>
  <si>
    <t>wydatki na zakupy inwestycyjne jed.budżet.</t>
  </si>
  <si>
    <t>Ochrona zabytków i opieka nad zabytkami</t>
  </si>
  <si>
    <t>rezerwy na inwestycje i zakupy inwestycyjne</t>
  </si>
  <si>
    <t>(dotacja z przeznaczeniem na 15% dofinansow.</t>
  </si>
  <si>
    <t xml:space="preserve">robót budowlanych przy zabytkach wpisanych </t>
  </si>
  <si>
    <t>do rejestru zabytków-remont dachu kościoła</t>
  </si>
  <si>
    <t>w Międzydrojach i Lubinie)</t>
  </si>
  <si>
    <t>(remont budynku położonego przy ul.Promenada</t>
  </si>
  <si>
    <t>Gwiazd- BALBINKA)</t>
  </si>
  <si>
    <t>szkoła nr 1 -remont stołówki</t>
  </si>
  <si>
    <t>telefonii stacjonarnej (zad.własne)</t>
  </si>
  <si>
    <t>opłaty czynszowe za pomieszczenia biurowe(włas.)</t>
  </si>
  <si>
    <t>drukarskiego i urządzeń kserograficznych(własne)</t>
  </si>
  <si>
    <t>programów i licencji( zad.własne)</t>
  </si>
  <si>
    <t>(rozbudowa istniejącego placu zabaw w parku)</t>
  </si>
  <si>
    <t>(zakup pompy typu Flugt 3171 180 LT 611)</t>
  </si>
  <si>
    <t>załącznik nr 2 do objaśnień</t>
  </si>
  <si>
    <t>przeprowadzenie inwentaryzacji dróg gminnych</t>
  </si>
  <si>
    <t xml:space="preserve">w związku z ewidencją dróg </t>
  </si>
  <si>
    <t>wynagrodzenie dla firmy prowadzącej strefy</t>
  </si>
  <si>
    <t>płatnego postoju</t>
  </si>
  <si>
    <t xml:space="preserve">dopłaty do biletów z tyt.stosowania ulg </t>
  </si>
  <si>
    <t>w przewozie pasażerów zgodnie</t>
  </si>
  <si>
    <t>zakup usług remontowych (remont przyziemia</t>
  </si>
  <si>
    <t>kaplicy na Cmentarzu Komunalnym</t>
  </si>
  <si>
    <t>w Międzyzdrojach)</t>
  </si>
  <si>
    <t>w kraju i zagranicą, opracowanie i wydanie</t>
  </si>
  <si>
    <t xml:space="preserve">informatorów turystycznych,opracowanie </t>
  </si>
  <si>
    <t>i wydanie mapy turystycznej Gminy Międzyzdroje</t>
  </si>
  <si>
    <t xml:space="preserve">reklama wizualna w mediach- realizacja </t>
  </si>
  <si>
    <t>programów promujących gminę oraz imprezy,</t>
  </si>
  <si>
    <t xml:space="preserve">zamieszczenie materiałow promocyjnych </t>
  </si>
  <si>
    <t xml:space="preserve">o gminie w dziennikach i wydawnictwach krajowych </t>
  </si>
  <si>
    <t>i zagranicznych,opracowanie i wydanie albumów</t>
  </si>
  <si>
    <t xml:space="preserve">i płyt,katalogów,materiałów promocyjnych </t>
  </si>
  <si>
    <t>o atrakcja turystycznych,współorganizacja imprez</t>
  </si>
  <si>
    <t>artystycznych i rekreacyjnych oraz okolicznościo-</t>
  </si>
  <si>
    <t>wych,współorganizacja konferencji, zjazdów,</t>
  </si>
  <si>
    <t>turystyki i promocji,itp..</t>
  </si>
  <si>
    <t>(Udział gminy w targach turystycznych</t>
  </si>
  <si>
    <t>budowa i prowadzenie strony internet. dotyczacej</t>
  </si>
  <si>
    <t>Realizacja projektu pn."Budowa zintegrowanego</t>
  </si>
  <si>
    <t>systemu informacji turystycznej w Województwie</t>
  </si>
  <si>
    <t>Zachodniopomorskim oraz programów pomocowych</t>
  </si>
  <si>
    <t>i projektów z UE a także współpraca regionalna</t>
  </si>
  <si>
    <t>i zagraniczna z gminami partnerskimi.</t>
  </si>
  <si>
    <t>promocje</t>
  </si>
  <si>
    <t>opracowanie projekty pn."Budowa infrastruk-</t>
  </si>
  <si>
    <t>tury i wspólnej marki turystycznej Zachodnio-</t>
  </si>
  <si>
    <t>pomorskiego Szlaku Żeglarskiego</t>
  </si>
  <si>
    <t>dotacje celowe przekazane gminie na zadania</t>
  </si>
  <si>
    <t>bieżące realizowane na podstawie porozumień</t>
  </si>
  <si>
    <t>między jednostkami samorządu terytorialnego</t>
  </si>
  <si>
    <t>(dotacja celowa na utrzymanie 15 stanowisk</t>
  </si>
  <si>
    <t>dla bezdomnych psów w schronisku - Gmina</t>
  </si>
  <si>
    <t>Golczewo)</t>
  </si>
  <si>
    <t>I Międzynarodowy Festiwal Chopinowski,</t>
  </si>
  <si>
    <t>Święto Polskiego Kabaretu,</t>
  </si>
  <si>
    <t>Lato z Gwiazdami / Festiwal Gwiazd,</t>
  </si>
  <si>
    <t>Międzyzdrojski Muzyczny Non Stop ,</t>
  </si>
  <si>
    <t>Pożegnanie Lata-Przegląd Piosenki Studenckiej)</t>
  </si>
  <si>
    <t xml:space="preserve">Bieg Śniadaniowy, </t>
  </si>
  <si>
    <t>Mityng Lekkoatletyczny</t>
  </si>
  <si>
    <t>Międzynarodowy Turniej Tańca Towarzyskiego</t>
  </si>
  <si>
    <t>Majowy Turniej Piłki Nożnej,</t>
  </si>
  <si>
    <t>Turniej Koszykówki,</t>
  </si>
  <si>
    <t>Turniej Siatkówki,</t>
  </si>
  <si>
    <t>oraz  inne wynikające z kalendarza imprez)</t>
  </si>
  <si>
    <t>remont ul.Dobrej i parkingu przy Wzgórzu Zielonka</t>
  </si>
  <si>
    <t>oraz budowa zaplecza sanitarnego</t>
  </si>
  <si>
    <t>wydatki na zakupy inwestycyjne jednostek bud.</t>
  </si>
  <si>
    <t xml:space="preserve">(zakup programu komputerowego w celu </t>
  </si>
  <si>
    <t>zaprowadzenia ewidencji dróg)</t>
  </si>
  <si>
    <t>projekt bud.i wykon.adaptacji budynku.-ul.Ludowa 2</t>
  </si>
  <si>
    <t>zestaw konferencyjny (nagłośnienie)</t>
  </si>
  <si>
    <t>szkoła nr 2- projekt i rozbudowa budynku</t>
  </si>
  <si>
    <t>oprac.koncepcji zagospodarow. budynku WIKLINY</t>
  </si>
  <si>
    <t>(projekt i urządzenie cmentarza w Międzyzdrojach)</t>
  </si>
  <si>
    <t>(Komenda Wojewódzka Policji-dofinansow.</t>
  </si>
  <si>
    <t>remontu Komisariatu Policji w roku 2007)</t>
  </si>
  <si>
    <t>przez inną jedn.sam.terytor. będącą instytucją</t>
  </si>
  <si>
    <t>szacowanie nieruchomości -opłaty planistyczne</t>
  </si>
  <si>
    <t xml:space="preserve">opracowanie dokumentacji i przebudowa </t>
  </si>
  <si>
    <t>Promenady Gwiazd i Bohaterów Warszawy</t>
  </si>
  <si>
    <t>przebudowa ul.Mickiewicza i Rybackiej</t>
  </si>
  <si>
    <t>dokumentacja na przebudowę ul.Kolejowej</t>
  </si>
  <si>
    <t>dokumetacja na remont ul.Książąt Pomorskich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</si>
</sst>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7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horizontal="centerContinuous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" fontId="5" fillId="0" borderId="3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0" fontId="0" fillId="0" borderId="2" xfId="0" applyFont="1" applyFill="1" applyBorder="1" applyAlignment="1">
      <alignment horizontal="left"/>
    </xf>
    <xf numFmtId="1" fontId="0" fillId="0" borderId="7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9" fontId="10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10" fillId="0" borderId="2" xfId="0" applyFont="1" applyFill="1" applyBorder="1" applyAlignment="1">
      <alignment/>
    </xf>
    <xf numFmtId="9" fontId="5" fillId="0" borderId="0" xfId="0" applyNumberFormat="1" applyFont="1" applyAlignment="1">
      <alignment/>
    </xf>
    <xf numFmtId="9" fontId="5" fillId="0" borderId="1" xfId="0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9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/>
    </xf>
    <xf numFmtId="9" fontId="9" fillId="0" borderId="5" xfId="0" applyNumberFormat="1" applyFont="1" applyBorder="1" applyAlignment="1">
      <alignment/>
    </xf>
    <xf numFmtId="9" fontId="5" fillId="0" borderId="2" xfId="0" applyNumberFormat="1" applyFont="1" applyBorder="1" applyAlignment="1">
      <alignment/>
    </xf>
    <xf numFmtId="9" fontId="8" fillId="0" borderId="4" xfId="0" applyNumberFormat="1" applyFont="1" applyBorder="1" applyAlignment="1">
      <alignment/>
    </xf>
    <xf numFmtId="9" fontId="13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9" fontId="10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9" xfId="0" applyFont="1" applyBorder="1" applyAlignment="1">
      <alignment/>
    </xf>
    <xf numFmtId="0" fontId="9" fillId="0" borderId="10" xfId="0" applyFont="1" applyBorder="1" applyAlignment="1">
      <alignment/>
    </xf>
    <xf numFmtId="4" fontId="1" fillId="0" borderId="9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9" fontId="9" fillId="0" borderId="1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4" fontId="0" fillId="0" borderId="0" xfId="0" applyNumberFormat="1" applyFont="1" applyAlignment="1">
      <alignment/>
    </xf>
    <xf numFmtId="164" fontId="5" fillId="0" borderId="4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9" fontId="5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" xfId="0" applyFont="1" applyBorder="1" applyAlignment="1">
      <alignment/>
    </xf>
    <xf numFmtId="9" fontId="10" fillId="0" borderId="0" xfId="0" applyNumberFormat="1" applyFont="1" applyAlignment="1">
      <alignment/>
    </xf>
    <xf numFmtId="9" fontId="10" fillId="0" borderId="0" xfId="0" applyNumberFormat="1" applyFont="1" applyAlignment="1">
      <alignment horizontal="centerContinuous"/>
    </xf>
    <xf numFmtId="9" fontId="10" fillId="0" borderId="1" xfId="0" applyNumberFormat="1" applyFont="1" applyBorder="1" applyAlignment="1">
      <alignment/>
    </xf>
    <xf numFmtId="9" fontId="11" fillId="0" borderId="4" xfId="0" applyNumberFormat="1" applyFont="1" applyBorder="1" applyAlignment="1">
      <alignment/>
    </xf>
    <xf numFmtId="9" fontId="11" fillId="0" borderId="3" xfId="0" applyNumberFormat="1" applyFont="1" applyBorder="1" applyAlignment="1">
      <alignment/>
    </xf>
    <xf numFmtId="9" fontId="10" fillId="0" borderId="2" xfId="0" applyNumberFormat="1" applyFont="1" applyBorder="1" applyAlignment="1">
      <alignment/>
    </xf>
    <xf numFmtId="9" fontId="10" fillId="0" borderId="3" xfId="0" applyNumberFormat="1" applyFont="1" applyBorder="1" applyAlignment="1">
      <alignment/>
    </xf>
    <xf numFmtId="9" fontId="12" fillId="0" borderId="4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9" fontId="10" fillId="0" borderId="0" xfId="0" applyNumberFormat="1" applyFont="1" applyBorder="1" applyAlignment="1">
      <alignment/>
    </xf>
    <xf numFmtId="9" fontId="11" fillId="0" borderId="11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9" fontId="3" fillId="0" borderId="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5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1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0" fillId="0" borderId="0" xfId="0" applyFont="1" applyAlignment="1">
      <alignment/>
    </xf>
    <xf numFmtId="9" fontId="1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Arkusz1!$E$790</c:f>
              <c:strCache>
                <c:ptCount val="1"/>
                <c:pt idx="0">
                  <c:v>4 000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Arkusz1!$F$790:$K$790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Arkusz1!$E$791</c:f>
              <c:strCache>
                <c:ptCount val="1"/>
                <c:pt idx="0">
                  <c:v>1 000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Arkusz1!$F$791:$K$791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Arkusz1!$E$796</c:f>
              <c:strCache>
                <c:ptCount val="1"/>
                <c:pt idx="0">
                  <c:v>5 000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Arkusz1!$F$796:$K$796</c:f>
              <c:numCache>
                <c:ptCount val="5"/>
                <c:pt idx="0">
                  <c:v>21500</c:v>
                </c:pt>
                <c:pt idx="1">
                  <c:v>21500</c:v>
                </c:pt>
                <c:pt idx="2">
                  <c:v>12000</c:v>
                </c:pt>
                <c:pt idx="3">
                  <c:v>0.5581395348837209</c:v>
                </c:pt>
                <c:pt idx="4">
                  <c:v>0.0005443167502548196</c:v>
                </c:pt>
              </c:numCache>
            </c:numRef>
          </c:val>
        </c:ser>
        <c:ser>
          <c:idx val="4"/>
          <c:order val="4"/>
          <c:tx>
            <c:strRef>
              <c:f>Arkusz1!$E$797</c:f>
              <c:strCache>
                <c:ptCount val="1"/>
                <c:pt idx="0">
                  <c:v>3 000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Arkusz1!$F$797:$K$797</c:f>
              <c:numCache>
                <c:ptCount val="5"/>
                <c:pt idx="0">
                  <c:v>12000</c:v>
                </c:pt>
                <c:pt idx="1">
                  <c:v>12000</c:v>
                </c:pt>
                <c:pt idx="2">
                  <c:v>12000</c:v>
                </c:pt>
                <c:pt idx="3">
                  <c:v>1</c:v>
                </c:pt>
                <c:pt idx="4">
                  <c:v>0.0005443167502548196</c:v>
                </c:pt>
              </c:numCache>
            </c:numRef>
          </c:val>
        </c:ser>
        <c:ser>
          <c:idx val="5"/>
          <c:order val="5"/>
          <c:tx>
            <c:strRef>
              <c:f>Arkusz1!$E$798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Arkusz1!$F$798:$K$798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67247"/>
        <c:crosses val="autoZero"/>
        <c:auto val="1"/>
        <c:lblOffset val="100"/>
        <c:noMultiLvlLbl val="0"/>
      </c:catAx>
      <c:valAx>
        <c:axId val="8867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4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00"/>
  <sheetViews>
    <sheetView tabSelected="1" workbookViewId="0" topLeftCell="A1">
      <selection activeCell="K126" sqref="K126"/>
    </sheetView>
  </sheetViews>
  <sheetFormatPr defaultColWidth="9.00390625" defaultRowHeight="12.75"/>
  <cols>
    <col min="1" max="1" width="4.25390625" style="201" customWidth="1"/>
    <col min="2" max="2" width="7.625" style="0" customWidth="1"/>
    <col min="3" max="3" width="37.375" style="110" customWidth="1"/>
    <col min="4" max="4" width="12.00390625" style="28" hidden="1" customWidth="1"/>
    <col min="5" max="5" width="10.75390625" style="37" hidden="1" customWidth="1"/>
    <col min="6" max="6" width="13.125" style="37" customWidth="1"/>
    <col min="7" max="7" width="10.375" style="37" hidden="1" customWidth="1"/>
    <col min="8" max="8" width="13.25390625" style="37" customWidth="1"/>
    <col min="9" max="9" width="12.875" style="37" customWidth="1"/>
    <col min="10" max="10" width="6.375" style="210" customWidth="1"/>
    <col min="11" max="11" width="6.625" style="131" customWidth="1"/>
  </cols>
  <sheetData>
    <row r="3" ht="12.75">
      <c r="I3" s="37" t="s">
        <v>566</v>
      </c>
    </row>
    <row r="5" spans="1:9" ht="15">
      <c r="A5" s="200"/>
      <c r="B5" s="2" t="s">
        <v>408</v>
      </c>
      <c r="C5" s="114"/>
      <c r="D5" s="21"/>
      <c r="E5" s="34"/>
      <c r="F5" s="34"/>
      <c r="G5" s="34"/>
      <c r="H5" s="34"/>
      <c r="I5" s="34"/>
    </row>
    <row r="6" spans="1:10" ht="12.75">
      <c r="A6" s="202"/>
      <c r="B6" s="40" t="s">
        <v>0</v>
      </c>
      <c r="C6" s="115"/>
      <c r="D6" s="22"/>
      <c r="E6" s="35"/>
      <c r="F6" s="35"/>
      <c r="G6" s="35"/>
      <c r="H6" s="35"/>
      <c r="I6" s="35"/>
      <c r="J6" s="211"/>
    </row>
    <row r="7" spans="1:11" ht="12.75">
      <c r="A7" s="203"/>
      <c r="B7" s="3"/>
      <c r="C7" s="116"/>
      <c r="D7" s="23"/>
      <c r="E7" s="36"/>
      <c r="F7" s="36"/>
      <c r="G7" s="36"/>
      <c r="H7" s="36"/>
      <c r="I7" s="36"/>
      <c r="J7" s="212"/>
      <c r="K7" s="132"/>
    </row>
    <row r="8" spans="1:11" ht="14.25" customHeight="1">
      <c r="A8" s="189"/>
      <c r="B8" s="4"/>
      <c r="C8" s="117"/>
      <c r="D8" s="31" t="s">
        <v>1</v>
      </c>
      <c r="E8" s="105" t="s">
        <v>192</v>
      </c>
      <c r="F8" s="161" t="s">
        <v>236</v>
      </c>
      <c r="G8" s="162" t="s">
        <v>212</v>
      </c>
      <c r="H8" s="163" t="s">
        <v>217</v>
      </c>
      <c r="I8" s="161" t="s">
        <v>216</v>
      </c>
      <c r="J8" s="106" t="s">
        <v>2</v>
      </c>
      <c r="K8" s="142" t="s">
        <v>3</v>
      </c>
    </row>
    <row r="9" spans="1:11" ht="12.75">
      <c r="A9" s="189" t="s">
        <v>4</v>
      </c>
      <c r="B9" s="42" t="s">
        <v>5</v>
      </c>
      <c r="C9" s="117" t="s">
        <v>6</v>
      </c>
      <c r="D9" s="31" t="s">
        <v>7</v>
      </c>
      <c r="E9" s="108" t="s">
        <v>193</v>
      </c>
      <c r="F9" s="161" t="s">
        <v>306</v>
      </c>
      <c r="G9" s="164" t="s">
        <v>213</v>
      </c>
      <c r="H9" s="29" t="s">
        <v>214</v>
      </c>
      <c r="I9" s="161" t="s">
        <v>411</v>
      </c>
      <c r="J9" s="106" t="s">
        <v>231</v>
      </c>
      <c r="K9" s="106" t="s">
        <v>232</v>
      </c>
    </row>
    <row r="10" spans="1:11" ht="12.75">
      <c r="A10" s="204"/>
      <c r="B10" s="5"/>
      <c r="C10" s="118"/>
      <c r="D10" s="32" t="s">
        <v>8</v>
      </c>
      <c r="E10" s="41" t="s">
        <v>194</v>
      </c>
      <c r="F10" s="165" t="s">
        <v>409</v>
      </c>
      <c r="G10" s="165"/>
      <c r="H10" s="165" t="s">
        <v>410</v>
      </c>
      <c r="I10" s="165"/>
      <c r="J10" s="113" t="s">
        <v>195</v>
      </c>
      <c r="K10" s="113" t="s">
        <v>411</v>
      </c>
    </row>
    <row r="11" spans="1:11" ht="12.75">
      <c r="A11" s="205">
        <v>1</v>
      </c>
      <c r="B11" s="56">
        <v>2</v>
      </c>
      <c r="C11" s="119">
        <v>3</v>
      </c>
      <c r="D11" s="56"/>
      <c r="E11" s="56">
        <v>4</v>
      </c>
      <c r="F11" s="196">
        <v>4</v>
      </c>
      <c r="G11" s="196">
        <v>5</v>
      </c>
      <c r="H11" s="196">
        <v>5</v>
      </c>
      <c r="I11" s="196">
        <v>6</v>
      </c>
      <c r="J11" s="221">
        <v>7</v>
      </c>
      <c r="K11" s="135">
        <v>8</v>
      </c>
    </row>
    <row r="12" spans="1:11" ht="12.75">
      <c r="A12" s="189">
        <v>1</v>
      </c>
      <c r="B12" s="8" t="s">
        <v>119</v>
      </c>
      <c r="C12" s="83" t="s">
        <v>122</v>
      </c>
      <c r="D12" s="26">
        <f>D67</f>
        <v>0</v>
      </c>
      <c r="E12" s="44">
        <f>E67</f>
        <v>0</v>
      </c>
      <c r="F12" s="26">
        <f>F67</f>
        <v>226317</v>
      </c>
      <c r="G12" s="26"/>
      <c r="H12" s="26">
        <f>H67</f>
        <v>225139.96</v>
      </c>
      <c r="I12" s="26">
        <f>I67</f>
        <v>100</v>
      </c>
      <c r="J12" s="213">
        <f>I12/H12</f>
        <v>0.0004441681521130234</v>
      </c>
      <c r="K12" s="136">
        <f>I12/I$54</f>
        <v>3.023374706968552E-06</v>
      </c>
    </row>
    <row r="13" spans="1:11" ht="12.75">
      <c r="A13" s="189"/>
      <c r="B13" s="97"/>
      <c r="C13" s="84"/>
      <c r="D13" s="24"/>
      <c r="E13" s="44"/>
      <c r="F13" s="166"/>
      <c r="G13" s="166"/>
      <c r="H13" s="166"/>
      <c r="I13" s="166"/>
      <c r="J13" s="213"/>
      <c r="K13" s="136"/>
    </row>
    <row r="14" spans="1:11" ht="12.75">
      <c r="A14" s="189">
        <v>2</v>
      </c>
      <c r="B14" s="141">
        <v>600</v>
      </c>
      <c r="C14" s="83" t="s">
        <v>121</v>
      </c>
      <c r="D14" s="26">
        <f>D84</f>
        <v>0</v>
      </c>
      <c r="E14" s="44" t="e">
        <f>E84</f>
        <v>#REF!</v>
      </c>
      <c r="F14" s="26">
        <f>F84</f>
        <v>4761683</v>
      </c>
      <c r="G14" s="26"/>
      <c r="H14" s="26">
        <f>H84</f>
        <v>2487303.25</v>
      </c>
      <c r="I14" s="26">
        <f>I84</f>
        <v>4667650</v>
      </c>
      <c r="J14" s="213">
        <f>I14/H14</f>
        <v>1.8765906408878772</v>
      </c>
      <c r="K14" s="136">
        <f>I14/I$54</f>
        <v>0.14112054950981762</v>
      </c>
    </row>
    <row r="15" spans="1:11" ht="15">
      <c r="A15" s="189"/>
      <c r="B15" s="98"/>
      <c r="C15" s="83"/>
      <c r="D15" s="26"/>
      <c r="E15" s="44"/>
      <c r="F15" s="166"/>
      <c r="G15" s="166"/>
      <c r="H15" s="166"/>
      <c r="I15" s="166"/>
      <c r="J15" s="213"/>
      <c r="K15" s="136"/>
    </row>
    <row r="16" spans="1:11" ht="12.75">
      <c r="A16" s="189">
        <v>3</v>
      </c>
      <c r="B16" s="63">
        <v>630</v>
      </c>
      <c r="C16" s="83" t="s">
        <v>153</v>
      </c>
      <c r="D16" s="24"/>
      <c r="E16" s="44" t="e">
        <f>E145</f>
        <v>#REF!</v>
      </c>
      <c r="F16" s="26">
        <f>F145</f>
        <v>258500</v>
      </c>
      <c r="G16" s="26"/>
      <c r="H16" s="26">
        <f>H145</f>
        <v>256190</v>
      </c>
      <c r="I16" s="26">
        <f>I145</f>
        <v>260700</v>
      </c>
      <c r="J16" s="213"/>
      <c r="K16" s="136">
        <f>I16/I$54</f>
        <v>0.007881937861067015</v>
      </c>
    </row>
    <row r="17" spans="1:11" ht="12.75">
      <c r="A17" s="189"/>
      <c r="B17" s="63"/>
      <c r="C17" s="83"/>
      <c r="D17" s="24"/>
      <c r="E17" s="44"/>
      <c r="F17" s="166"/>
      <c r="G17" s="166"/>
      <c r="H17" s="166"/>
      <c r="I17" s="166"/>
      <c r="J17" s="213"/>
      <c r="K17" s="136"/>
    </row>
    <row r="18" spans="1:11" ht="12.75">
      <c r="A18" s="189">
        <v>4</v>
      </c>
      <c r="B18" s="63">
        <v>700</v>
      </c>
      <c r="C18" s="83" t="s">
        <v>124</v>
      </c>
      <c r="D18" s="26">
        <f>SUM(D153)</f>
        <v>0</v>
      </c>
      <c r="E18" s="44" t="e">
        <f>E153</f>
        <v>#REF!</v>
      </c>
      <c r="F18" s="26">
        <f>F153</f>
        <v>2038319</v>
      </c>
      <c r="G18" s="26"/>
      <c r="H18" s="26">
        <f>H153</f>
        <v>2004515.8199999998</v>
      </c>
      <c r="I18" s="26">
        <f>I153</f>
        <v>6214896</v>
      </c>
      <c r="J18" s="213">
        <f>I18/H18</f>
        <v>3.1004474686560473</v>
      </c>
      <c r="K18" s="136">
        <f>I18/I$54</f>
        <v>0.1878995937284003</v>
      </c>
    </row>
    <row r="19" spans="1:11" ht="12.75">
      <c r="A19" s="189"/>
      <c r="B19" s="97"/>
      <c r="C19" s="84"/>
      <c r="D19" s="24"/>
      <c r="E19" s="44"/>
      <c r="F19" s="166"/>
      <c r="G19" s="166"/>
      <c r="H19" s="166"/>
      <c r="I19" s="166"/>
      <c r="J19" s="213"/>
      <c r="K19" s="136"/>
    </row>
    <row r="20" spans="1:11" ht="12.75">
      <c r="A20" s="189">
        <v>5</v>
      </c>
      <c r="B20" s="63">
        <v>710</v>
      </c>
      <c r="C20" s="83" t="s">
        <v>126</v>
      </c>
      <c r="D20" s="26"/>
      <c r="E20" s="44" t="e">
        <f>E203</f>
        <v>#REF!</v>
      </c>
      <c r="F20" s="26">
        <f>F203</f>
        <v>502800</v>
      </c>
      <c r="G20" s="26"/>
      <c r="H20" s="26">
        <f>H203</f>
        <v>494800</v>
      </c>
      <c r="I20" s="26">
        <f>I203</f>
        <v>565000</v>
      </c>
      <c r="J20" s="213">
        <f>I20/H20</f>
        <v>1.1418755052546483</v>
      </c>
      <c r="K20" s="136">
        <f>I20/I$54</f>
        <v>0.017082067094372322</v>
      </c>
    </row>
    <row r="21" spans="1:11" ht="12.75">
      <c r="A21" s="189"/>
      <c r="B21" s="97"/>
      <c r="C21" s="83"/>
      <c r="D21" s="26" t="e">
        <f>SUM(#REF!)</f>
        <v>#REF!</v>
      </c>
      <c r="E21" s="44"/>
      <c r="F21" s="166"/>
      <c r="G21" s="166"/>
      <c r="H21" s="166"/>
      <c r="I21" s="166"/>
      <c r="J21" s="213"/>
      <c r="K21" s="136"/>
    </row>
    <row r="22" spans="1:11" ht="12.75">
      <c r="A22" s="189">
        <v>6</v>
      </c>
      <c r="B22" s="63">
        <v>750</v>
      </c>
      <c r="C22" s="83" t="s">
        <v>128</v>
      </c>
      <c r="D22" s="24"/>
      <c r="E22" s="44" t="e">
        <f>E227</f>
        <v>#REF!</v>
      </c>
      <c r="F22" s="26">
        <f>F227</f>
        <v>3856175</v>
      </c>
      <c r="G22" s="26"/>
      <c r="H22" s="26">
        <f>H227</f>
        <v>3852348.6900000004</v>
      </c>
      <c r="I22" s="26">
        <f>I227</f>
        <v>3955059</v>
      </c>
      <c r="J22" s="213">
        <f>I22/H22</f>
        <v>1.0266617376216791</v>
      </c>
      <c r="K22" s="136">
        <f>I22/I$54</f>
        <v>0.11957625345168335</v>
      </c>
    </row>
    <row r="23" spans="1:11" ht="12.75">
      <c r="A23" s="189"/>
      <c r="B23" s="97"/>
      <c r="C23" s="83"/>
      <c r="D23" s="26">
        <f>SUM(D540)</f>
        <v>0</v>
      </c>
      <c r="E23" s="44"/>
      <c r="F23" s="166"/>
      <c r="G23" s="166"/>
      <c r="H23" s="166"/>
      <c r="I23" s="166"/>
      <c r="J23" s="213"/>
      <c r="K23" s="136"/>
    </row>
    <row r="24" spans="1:11" ht="12.75">
      <c r="A24" s="189">
        <v>7</v>
      </c>
      <c r="B24" s="99">
        <v>751</v>
      </c>
      <c r="C24" s="85" t="s">
        <v>154</v>
      </c>
      <c r="D24" s="24"/>
      <c r="E24" s="44"/>
      <c r="F24" s="166"/>
      <c r="G24" s="166"/>
      <c r="H24" s="166"/>
      <c r="I24" s="166"/>
      <c r="J24" s="213"/>
      <c r="K24" s="136"/>
    </row>
    <row r="25" spans="1:11" ht="12.75">
      <c r="A25" s="189"/>
      <c r="B25" s="99"/>
      <c r="C25" s="85" t="s">
        <v>155</v>
      </c>
      <c r="D25" s="26" t="e">
        <f>SUM(#REF!)</f>
        <v>#REF!</v>
      </c>
      <c r="E25" s="44"/>
      <c r="F25" s="166"/>
      <c r="G25" s="166"/>
      <c r="H25" s="166"/>
      <c r="I25" s="166"/>
      <c r="J25" s="213"/>
      <c r="K25" s="136"/>
    </row>
    <row r="26" spans="1:11" ht="12.75">
      <c r="A26" s="189"/>
      <c r="B26" s="99"/>
      <c r="C26" s="85" t="s">
        <v>156</v>
      </c>
      <c r="D26" s="24"/>
      <c r="E26" s="44" t="e">
        <f>E423</f>
        <v>#REF!</v>
      </c>
      <c r="F26" s="26">
        <f>F423</f>
        <v>24984</v>
      </c>
      <c r="G26" s="26"/>
      <c r="H26" s="26">
        <f>H423</f>
        <v>24984</v>
      </c>
      <c r="I26" s="26">
        <f>I423</f>
        <v>1104</v>
      </c>
      <c r="J26" s="213">
        <f>I26/H26</f>
        <v>0.04418828049951969</v>
      </c>
      <c r="K26" s="136">
        <f>I26/I$54</f>
        <v>3.337805676493282E-05</v>
      </c>
    </row>
    <row r="27" spans="1:11" ht="12.75">
      <c r="A27" s="189"/>
      <c r="B27" s="97"/>
      <c r="C27" s="83"/>
      <c r="D27" s="26" t="e">
        <f>SUM(#REF!)</f>
        <v>#REF!</v>
      </c>
      <c r="E27" s="44"/>
      <c r="F27" s="166"/>
      <c r="G27" s="166"/>
      <c r="H27" s="166"/>
      <c r="I27" s="166"/>
      <c r="J27" s="213"/>
      <c r="K27" s="136"/>
    </row>
    <row r="28" spans="1:11" ht="12.75">
      <c r="A28" s="189">
        <v>8</v>
      </c>
      <c r="B28" s="63">
        <v>752</v>
      </c>
      <c r="C28" s="83" t="s">
        <v>298</v>
      </c>
      <c r="D28" s="26"/>
      <c r="E28" s="44"/>
      <c r="F28" s="166">
        <f>F437</f>
        <v>0</v>
      </c>
      <c r="G28" s="166"/>
      <c r="H28" s="166">
        <f>H437</f>
        <v>0</v>
      </c>
      <c r="I28" s="166">
        <f>I437</f>
        <v>0</v>
      </c>
      <c r="J28" s="213"/>
      <c r="K28" s="136"/>
    </row>
    <row r="29" spans="1:11" ht="12.75">
      <c r="A29" s="189"/>
      <c r="B29" s="97"/>
      <c r="C29" s="83"/>
      <c r="D29" s="26"/>
      <c r="E29" s="44"/>
      <c r="F29" s="166"/>
      <c r="G29" s="166"/>
      <c r="H29" s="166"/>
      <c r="I29" s="166"/>
      <c r="J29" s="213"/>
      <c r="K29" s="136"/>
    </row>
    <row r="30" spans="1:11" ht="12.75">
      <c r="A30" s="189">
        <v>9</v>
      </c>
      <c r="B30" s="99">
        <v>754</v>
      </c>
      <c r="C30" s="85" t="s">
        <v>131</v>
      </c>
      <c r="D30" s="24"/>
      <c r="E30" s="44"/>
      <c r="F30" s="166"/>
      <c r="G30" s="166"/>
      <c r="H30" s="166"/>
      <c r="I30" s="166"/>
      <c r="J30" s="213"/>
      <c r="K30" s="136"/>
    </row>
    <row r="31" spans="1:11" ht="12.75">
      <c r="A31" s="189"/>
      <c r="B31" s="99"/>
      <c r="C31" s="85" t="s">
        <v>132</v>
      </c>
      <c r="D31" s="26" t="e">
        <f>SUM(#REF!)</f>
        <v>#REF!</v>
      </c>
      <c r="E31" s="44" t="e">
        <f>E441</f>
        <v>#REF!</v>
      </c>
      <c r="F31" s="26">
        <f>F441</f>
        <v>701610</v>
      </c>
      <c r="G31" s="26"/>
      <c r="H31" s="26">
        <f>H441</f>
        <v>695636.3</v>
      </c>
      <c r="I31" s="26">
        <f>I441</f>
        <v>571713</v>
      </c>
      <c r="J31" s="213">
        <f>I31/H31</f>
        <v>0.8218561912309637</v>
      </c>
      <c r="K31" s="136">
        <f>I31/I$54</f>
        <v>0.01728502623845112</v>
      </c>
    </row>
    <row r="32" spans="1:11" ht="12.75">
      <c r="A32" s="189"/>
      <c r="B32" s="97"/>
      <c r="C32" s="84"/>
      <c r="D32" s="24"/>
      <c r="E32" s="44"/>
      <c r="F32" s="166"/>
      <c r="G32" s="166"/>
      <c r="H32" s="166"/>
      <c r="I32" s="166"/>
      <c r="J32" s="213"/>
      <c r="K32" s="136"/>
    </row>
    <row r="33" spans="1:11" ht="12.75">
      <c r="A33" s="189">
        <v>10</v>
      </c>
      <c r="B33" s="99">
        <v>757</v>
      </c>
      <c r="C33" s="85" t="s">
        <v>134</v>
      </c>
      <c r="D33" s="26" t="e">
        <f>#REF!</f>
        <v>#REF!</v>
      </c>
      <c r="E33" s="44" t="e">
        <f>E515</f>
        <v>#REF!</v>
      </c>
      <c r="F33" s="26">
        <f>F515</f>
        <v>314270</v>
      </c>
      <c r="G33" s="26"/>
      <c r="H33" s="26">
        <f>H515</f>
        <v>259841</v>
      </c>
      <c r="I33" s="26">
        <f>I515</f>
        <v>528968.34</v>
      </c>
      <c r="J33" s="213">
        <f>I33/H33</f>
        <v>2.035738547804234</v>
      </c>
      <c r="K33" s="136">
        <f>I33/I$54</f>
        <v>0.015992694999431414</v>
      </c>
    </row>
    <row r="34" spans="1:11" ht="12.75">
      <c r="A34" s="189"/>
      <c r="B34" s="97"/>
      <c r="C34" s="84"/>
      <c r="D34" s="24"/>
      <c r="E34" s="44"/>
      <c r="F34" s="166"/>
      <c r="G34" s="166"/>
      <c r="H34" s="166"/>
      <c r="I34" s="166"/>
      <c r="J34" s="213"/>
      <c r="K34" s="136"/>
    </row>
    <row r="35" spans="1:11" ht="12.75">
      <c r="A35" s="189">
        <v>11</v>
      </c>
      <c r="B35" s="99">
        <v>758</v>
      </c>
      <c r="C35" s="85" t="s">
        <v>115</v>
      </c>
      <c r="D35" s="26" t="e">
        <f>SUM(#REF!)</f>
        <v>#REF!</v>
      </c>
      <c r="E35" s="44">
        <f>E528</f>
        <v>183335</v>
      </c>
      <c r="F35" s="26">
        <f>F528</f>
        <v>166200</v>
      </c>
      <c r="G35" s="26"/>
      <c r="H35" s="26">
        <f>H528</f>
        <v>0</v>
      </c>
      <c r="I35" s="26">
        <f>I528</f>
        <v>201202.44</v>
      </c>
      <c r="J35" s="213"/>
      <c r="K35" s="136">
        <f>I35/I$54</f>
        <v>0.006083103680763577</v>
      </c>
    </row>
    <row r="36" spans="1:11" ht="12.75">
      <c r="A36" s="189"/>
      <c r="B36" s="97"/>
      <c r="C36" s="84"/>
      <c r="D36" s="24"/>
      <c r="E36" s="44"/>
      <c r="F36" s="166"/>
      <c r="G36" s="166"/>
      <c r="H36" s="166"/>
      <c r="I36" s="166"/>
      <c r="J36" s="213"/>
      <c r="K36" s="136"/>
    </row>
    <row r="37" spans="1:11" ht="15">
      <c r="A37" s="189">
        <v>12</v>
      </c>
      <c r="B37" s="98">
        <v>801</v>
      </c>
      <c r="C37" s="83" t="s">
        <v>9</v>
      </c>
      <c r="D37" s="26" t="e">
        <f>SUM(#REF!)</f>
        <v>#REF!</v>
      </c>
      <c r="E37" s="44" t="e">
        <f>E540</f>
        <v>#REF!</v>
      </c>
      <c r="F37" s="26">
        <f>F540</f>
        <v>7491576</v>
      </c>
      <c r="G37" s="26"/>
      <c r="H37" s="26">
        <f>H540</f>
        <v>7475345.04</v>
      </c>
      <c r="I37" s="26">
        <f>I540</f>
        <v>7464660.56</v>
      </c>
      <c r="J37" s="213">
        <f>I37/H37</f>
        <v>0.9985707041022416</v>
      </c>
      <c r="K37" s="136">
        <f>I37/I$54</f>
        <v>0.22568465933209708</v>
      </c>
    </row>
    <row r="38" spans="1:11" ht="12.75">
      <c r="A38" s="189"/>
      <c r="B38" s="97"/>
      <c r="C38" s="84"/>
      <c r="D38" s="24"/>
      <c r="E38" s="44"/>
      <c r="F38" s="166"/>
      <c r="G38" s="166"/>
      <c r="H38" s="166"/>
      <c r="I38" s="166"/>
      <c r="J38" s="213"/>
      <c r="K38" s="136"/>
    </row>
    <row r="39" spans="1:11" ht="12.75">
      <c r="A39" s="189">
        <v>13</v>
      </c>
      <c r="B39" s="63">
        <v>851</v>
      </c>
      <c r="C39" s="83" t="s">
        <v>10</v>
      </c>
      <c r="D39" s="26"/>
      <c r="E39" s="44" t="e">
        <f>E781</f>
        <v>#REF!</v>
      </c>
      <c r="F39" s="26">
        <f>F781</f>
        <v>357430</v>
      </c>
      <c r="G39" s="26"/>
      <c r="H39" s="26">
        <f>H781</f>
        <v>357217.13999999996</v>
      </c>
      <c r="I39" s="26">
        <f>I781</f>
        <v>320000</v>
      </c>
      <c r="J39" s="213">
        <f>I39/H39</f>
        <v>0.8958136779215019</v>
      </c>
      <c r="K39" s="136">
        <f>I39/I$54</f>
        <v>0.009674799062299367</v>
      </c>
    </row>
    <row r="40" spans="1:11" ht="12.75">
      <c r="A40" s="189"/>
      <c r="B40" s="63"/>
      <c r="C40" s="83"/>
      <c r="D40" s="26"/>
      <c r="E40" s="44"/>
      <c r="F40" s="166"/>
      <c r="G40" s="166"/>
      <c r="H40" s="166"/>
      <c r="I40" s="166"/>
      <c r="J40" s="213"/>
      <c r="K40" s="136"/>
    </row>
    <row r="41" spans="1:11" ht="12.75">
      <c r="A41" s="189">
        <v>14</v>
      </c>
      <c r="B41" s="63">
        <v>852</v>
      </c>
      <c r="C41" s="83" t="s">
        <v>245</v>
      </c>
      <c r="D41" s="26"/>
      <c r="E41" s="44"/>
      <c r="F41" s="166">
        <f>F818</f>
        <v>3185885</v>
      </c>
      <c r="G41" s="166"/>
      <c r="H41" s="166">
        <f>H818</f>
        <v>3143421.82</v>
      </c>
      <c r="I41" s="166">
        <f>I818</f>
        <v>2960341</v>
      </c>
      <c r="J41" s="213">
        <f>I41/H41</f>
        <v>0.9417574762524236</v>
      </c>
      <c r="K41" s="136">
        <f>I41/I$54</f>
        <v>0.08950220103401992</v>
      </c>
    </row>
    <row r="42" spans="1:11" ht="12.75">
      <c r="A42" s="189"/>
      <c r="B42" s="97"/>
      <c r="C42" s="83"/>
      <c r="D42" s="26" t="e">
        <f>SUM(#REF!)</f>
        <v>#REF!</v>
      </c>
      <c r="E42" s="44"/>
      <c r="F42" s="166"/>
      <c r="G42" s="166"/>
      <c r="H42" s="166"/>
      <c r="I42" s="166"/>
      <c r="J42" s="213"/>
      <c r="K42" s="136"/>
    </row>
    <row r="43" spans="1:11" ht="12.75">
      <c r="A43" s="189">
        <v>15</v>
      </c>
      <c r="B43" s="63">
        <v>854</v>
      </c>
      <c r="C43" s="83" t="s">
        <v>141</v>
      </c>
      <c r="D43" s="26"/>
      <c r="E43" s="44" t="e">
        <f>E919</f>
        <v>#REF!</v>
      </c>
      <c r="F43" s="26">
        <f>F919</f>
        <v>337012</v>
      </c>
      <c r="G43" s="26"/>
      <c r="H43" s="26">
        <f>H919</f>
        <v>261744.52</v>
      </c>
      <c r="I43" s="26">
        <f>I919</f>
        <v>297238</v>
      </c>
      <c r="J43" s="213">
        <f>I43/H43</f>
        <v>1.1356035266755538</v>
      </c>
      <c r="K43" s="136">
        <f>I43/I$54</f>
        <v>0.008986618511499185</v>
      </c>
    </row>
    <row r="44" spans="1:11" ht="12.75">
      <c r="A44" s="189"/>
      <c r="B44" s="97"/>
      <c r="C44" s="83"/>
      <c r="D44" s="26" t="e">
        <f>#REF!</f>
        <v>#REF!</v>
      </c>
      <c r="E44" s="44"/>
      <c r="F44" s="166"/>
      <c r="G44" s="166"/>
      <c r="H44" s="166"/>
      <c r="I44" s="166"/>
      <c r="J44" s="213"/>
      <c r="K44" s="136"/>
    </row>
    <row r="45" spans="1:11" ht="12.75">
      <c r="A45" s="189">
        <v>16</v>
      </c>
      <c r="B45" s="63">
        <v>900</v>
      </c>
      <c r="C45" s="83" t="s">
        <v>145</v>
      </c>
      <c r="D45" s="24"/>
      <c r="E45" s="44"/>
      <c r="F45" s="166"/>
      <c r="G45" s="166"/>
      <c r="H45" s="166"/>
      <c r="I45" s="166"/>
      <c r="J45" s="213"/>
      <c r="K45" s="136"/>
    </row>
    <row r="46" spans="1:11" ht="12.75">
      <c r="A46" s="189"/>
      <c r="B46" s="63"/>
      <c r="C46" s="83" t="s">
        <v>146</v>
      </c>
      <c r="D46" s="26" t="e">
        <f>SUM(#REF!)</f>
        <v>#REF!</v>
      </c>
      <c r="E46" s="44" t="e">
        <f>E1049</f>
        <v>#REF!</v>
      </c>
      <c r="F46" s="26">
        <f>F1049</f>
        <v>4274681</v>
      </c>
      <c r="G46" s="26"/>
      <c r="H46" s="26">
        <f>H1049</f>
        <v>4241604.25</v>
      </c>
      <c r="I46" s="26">
        <f>I1049</f>
        <v>2940990</v>
      </c>
      <c r="J46" s="213">
        <f>I46/H46</f>
        <v>0.6933673739128303</v>
      </c>
      <c r="K46" s="136">
        <f>I46/I$54</f>
        <v>0.08891714779447442</v>
      </c>
    </row>
    <row r="47" spans="1:11" ht="12.75">
      <c r="A47" s="189"/>
      <c r="B47" s="97"/>
      <c r="C47" s="83"/>
      <c r="D47" s="26"/>
      <c r="E47" s="44"/>
      <c r="F47" s="166"/>
      <c r="G47" s="166"/>
      <c r="H47" s="166"/>
      <c r="I47" s="166"/>
      <c r="J47" s="213"/>
      <c r="K47" s="136"/>
    </row>
    <row r="48" spans="1:11" ht="12.75">
      <c r="A48" s="189">
        <v>17</v>
      </c>
      <c r="B48" s="63">
        <v>921</v>
      </c>
      <c r="C48" s="83" t="s">
        <v>150</v>
      </c>
      <c r="D48" s="26" t="e">
        <f>#REF!</f>
        <v>#REF!</v>
      </c>
      <c r="E48" s="44"/>
      <c r="F48" s="166"/>
      <c r="G48" s="166"/>
      <c r="H48" s="166"/>
      <c r="I48" s="166"/>
      <c r="J48" s="213"/>
      <c r="K48" s="136"/>
    </row>
    <row r="49" spans="1:11" ht="12.75">
      <c r="A49" s="189"/>
      <c r="B49" s="100"/>
      <c r="C49" s="120" t="s">
        <v>151</v>
      </c>
      <c r="D49" s="39"/>
      <c r="E49" s="44" t="e">
        <f>E1141</f>
        <v>#REF!</v>
      </c>
      <c r="F49" s="26">
        <f>F1141</f>
        <v>1181205</v>
      </c>
      <c r="G49" s="26"/>
      <c r="H49" s="26">
        <f>H1141</f>
        <v>1181205</v>
      </c>
      <c r="I49" s="26">
        <f>I1141</f>
        <v>1933000</v>
      </c>
      <c r="J49" s="213">
        <f>I49/H49</f>
        <v>1.6364644579052747</v>
      </c>
      <c r="K49" s="136">
        <f>I49/I$54</f>
        <v>0.05844183308570212</v>
      </c>
    </row>
    <row r="50" spans="1:11" ht="12.75">
      <c r="A50" s="189"/>
      <c r="B50" s="100"/>
      <c r="C50" s="121"/>
      <c r="D50" s="24"/>
      <c r="E50" s="44"/>
      <c r="F50" s="166"/>
      <c r="G50" s="166"/>
      <c r="H50" s="166"/>
      <c r="I50" s="166"/>
      <c r="J50" s="213"/>
      <c r="K50" s="136"/>
    </row>
    <row r="51" spans="1:11" ht="12.75">
      <c r="A51" s="189">
        <v>18</v>
      </c>
      <c r="B51" s="100">
        <v>926</v>
      </c>
      <c r="C51" s="121" t="s">
        <v>180</v>
      </c>
      <c r="D51" s="24"/>
      <c r="E51" s="44" t="e">
        <f>E1171</f>
        <v>#REF!</v>
      </c>
      <c r="F51" s="26">
        <f>F1171</f>
        <v>102583</v>
      </c>
      <c r="G51" s="26"/>
      <c r="H51" s="26">
        <f>H1171</f>
        <v>102527</v>
      </c>
      <c r="I51" s="26">
        <f>I1171</f>
        <v>193000</v>
      </c>
      <c r="J51" s="213">
        <f>I51/H51</f>
        <v>1.8824309694031816</v>
      </c>
      <c r="K51" s="136">
        <f>I51/I$54</f>
        <v>0.005835113184449306</v>
      </c>
    </row>
    <row r="52" spans="1:11" ht="12" customHeight="1">
      <c r="A52" s="204"/>
      <c r="B52" s="101"/>
      <c r="C52" s="122"/>
      <c r="D52" s="25"/>
      <c r="E52" s="45"/>
      <c r="F52" s="167"/>
      <c r="G52" s="167"/>
      <c r="H52" s="167"/>
      <c r="I52" s="168"/>
      <c r="J52" s="214"/>
      <c r="K52" s="137"/>
    </row>
    <row r="53" spans="1:11" ht="12.75">
      <c r="A53" s="206"/>
      <c r="B53" s="95"/>
      <c r="C53" s="121"/>
      <c r="D53" s="24"/>
      <c r="E53" s="44"/>
      <c r="F53" s="166"/>
      <c r="G53" s="166"/>
      <c r="H53" s="166"/>
      <c r="I53" s="166"/>
      <c r="J53" s="213"/>
      <c r="K53" s="136"/>
    </row>
    <row r="54" spans="1:11" s="62" customFormat="1" ht="12.75">
      <c r="A54" s="207"/>
      <c r="B54" s="95"/>
      <c r="C54" s="121" t="s">
        <v>11</v>
      </c>
      <c r="D54" s="60" t="e">
        <f>D48+D46+D44+#REF!+D42+D37+D35+D33+D31+D27+D25+D23+D21+D18+D14+D12+#REF!</f>
        <v>#REF!</v>
      </c>
      <c r="E54" s="61" t="e">
        <f>SUM(E12:E51)</f>
        <v>#REF!</v>
      </c>
      <c r="F54" s="60">
        <f>SUM(F12:F51)</f>
        <v>29781230</v>
      </c>
      <c r="G54" s="60"/>
      <c r="H54" s="60">
        <f>SUM(H12:H51)</f>
        <v>27063823.79</v>
      </c>
      <c r="I54" s="60">
        <f>SUM(I12:I51)</f>
        <v>33075622.34</v>
      </c>
      <c r="J54" s="213">
        <f>I54/H54</f>
        <v>1.2221341151438232</v>
      </c>
      <c r="K54" s="136">
        <f>I54/I$54</f>
        <v>1</v>
      </c>
    </row>
    <row r="55" spans="1:11" ht="12.75">
      <c r="A55" s="206"/>
      <c r="B55" s="18"/>
      <c r="C55" s="123" t="s">
        <v>12</v>
      </c>
      <c r="D55" s="24"/>
      <c r="E55" s="48"/>
      <c r="F55" s="161"/>
      <c r="G55" s="161"/>
      <c r="H55" s="161"/>
      <c r="I55" s="161"/>
      <c r="J55" s="213"/>
      <c r="K55" s="136"/>
    </row>
    <row r="56" spans="1:11" ht="12.75">
      <c r="A56" s="206"/>
      <c r="B56" s="18"/>
      <c r="C56" s="123" t="s">
        <v>229</v>
      </c>
      <c r="D56" s="24" t="e">
        <f>D74+#REF!+#REF!+#REF!+#REF!+#REF!+#REF!+#REF!+#REF!+#REF!+#REF!+#REF!</f>
        <v>#REF!</v>
      </c>
      <c r="E56" s="49" t="e">
        <f>E74+E108+#REF!+E193+#REF!+E381+E657+E727+E767+#REF!+#REF!+#REF!+#REF!+E1196</f>
        <v>#REF!</v>
      </c>
      <c r="F56" s="169">
        <f>F74+F83+F91+F108+F134+F193+F199+F226+F374+F381+F389+F448+F456+F471+F475+F489+F512+F657+F662+F695+F696+F727+F728+F767+F812+F817+F850+F903+F1074+F1083+F1093+F1114+F1123+F1128+F1133+F1139+F1151+F1156+F1195+F1197</f>
        <v>9957199</v>
      </c>
      <c r="G56" s="169" t="e">
        <f>G74+G83+G91+G108+G193+G199+G226+G374+G381+G389+G448+G456+G471+G475+G489+G512+G657+G662+G695+G696+G727+G728+G767+G812+G817+G850+G903+G1074+G1083+G1093+G1114+G1123+G1128+G1133+G1139+G1151+G1156+G1195+G1197</f>
        <v>#REF!</v>
      </c>
      <c r="H56" s="169">
        <f>H74+H83+H91+H108+H134+H193+H199+H226+H374+H381+H389+H448+H456+H471+H475+H489+H512+H657+H662+H695+H696+H727+H728+H767+H812+H817+H850+H903+H1074+H1083+H1093+H1114+H1123+H1128+H1133+H1139+H1151+H1156+H1195+H1197</f>
        <v>7663496.7700000005</v>
      </c>
      <c r="I56" s="169">
        <f>I74+I83+I91+I108+I134+I193+I199+I226+I374+I381+I389+I448+I456+I471+I475+I489+I512+I657+I662+I695+I696+I727+I728+I767+I812+I817+I850+I903+I1074+I1083+I1093+I1114+I1123+I1128+I1133+I1139+I1151+I1156+I1195+I1197</f>
        <v>11779740</v>
      </c>
      <c r="J56" s="215">
        <f>I56/H56</f>
        <v>1.5371233724679967</v>
      </c>
      <c r="K56" s="138">
        <f>I56/I$54</f>
        <v>0.35614567970665734</v>
      </c>
    </row>
    <row r="57" spans="1:11" ht="12.75">
      <c r="A57" s="208"/>
      <c r="B57" s="19"/>
      <c r="C57" s="124" t="s">
        <v>13</v>
      </c>
      <c r="D57" s="25" t="e">
        <f>D54-D56</f>
        <v>#REF!</v>
      </c>
      <c r="E57" s="50" t="e">
        <f>E54-E56</f>
        <v>#REF!</v>
      </c>
      <c r="F57" s="25">
        <f>F54-F56</f>
        <v>19824031</v>
      </c>
      <c r="G57" s="25"/>
      <c r="H57" s="25">
        <f>H54-H56</f>
        <v>19400327.02</v>
      </c>
      <c r="I57" s="25">
        <f>I54-I56</f>
        <v>21295882.34</v>
      </c>
      <c r="J57" s="216">
        <f>I57/H57</f>
        <v>1.0977073900891388</v>
      </c>
      <c r="K57" s="134">
        <f>I57/I$54</f>
        <v>0.6438543202933427</v>
      </c>
    </row>
    <row r="58" spans="1:11" ht="12.75">
      <c r="A58" s="229"/>
      <c r="B58" s="38"/>
      <c r="C58" s="230"/>
      <c r="D58" s="39"/>
      <c r="E58" s="231"/>
      <c r="F58" s="39"/>
      <c r="G58" s="39"/>
      <c r="H58" s="39"/>
      <c r="I58" s="39"/>
      <c r="J58" s="219"/>
      <c r="K58" s="232"/>
    </row>
    <row r="59" spans="1:11" ht="12.75">
      <c r="A59" s="229"/>
      <c r="B59" s="38"/>
      <c r="C59" s="230"/>
      <c r="D59" s="39"/>
      <c r="E59" s="231"/>
      <c r="F59" s="39"/>
      <c r="G59" s="39"/>
      <c r="H59" s="39"/>
      <c r="I59" s="39"/>
      <c r="J59" s="219"/>
      <c r="K59" s="232"/>
    </row>
    <row r="60" spans="1:11" ht="12.75">
      <c r="A60" s="229"/>
      <c r="B60" s="38"/>
      <c r="C60" s="230"/>
      <c r="D60" s="39"/>
      <c r="E60" s="231"/>
      <c r="F60" s="39"/>
      <c r="G60" s="39"/>
      <c r="H60" s="39"/>
      <c r="I60" s="39"/>
      <c r="J60" s="219"/>
      <c r="K60" s="232"/>
    </row>
    <row r="61" spans="1:11" s="38" customFormat="1" ht="12.75">
      <c r="A61" s="229"/>
      <c r="C61" s="230"/>
      <c r="D61" s="39"/>
      <c r="E61" s="231"/>
      <c r="F61" s="39"/>
      <c r="G61" s="39"/>
      <c r="H61" s="39"/>
      <c r="I61" s="39"/>
      <c r="J61" s="219"/>
      <c r="K61" s="232"/>
    </row>
    <row r="62" spans="1:11" ht="14.25" customHeight="1">
      <c r="A62" s="209"/>
      <c r="B62" s="57" t="s">
        <v>14</v>
      </c>
      <c r="C62" s="125"/>
      <c r="D62" s="23"/>
      <c r="E62" s="36"/>
      <c r="F62" s="36"/>
      <c r="G62" s="36"/>
      <c r="H62" s="36"/>
      <c r="I62" s="36"/>
      <c r="J62" s="212"/>
      <c r="K62" s="132"/>
    </row>
    <row r="63" spans="1:11" ht="14.25" customHeight="1">
      <c r="A63" s="189"/>
      <c r="B63" s="4"/>
      <c r="C63" s="117"/>
      <c r="D63" s="31" t="s">
        <v>1</v>
      </c>
      <c r="E63" s="105" t="s">
        <v>192</v>
      </c>
      <c r="F63" s="161" t="s">
        <v>236</v>
      </c>
      <c r="G63" s="162" t="s">
        <v>212</v>
      </c>
      <c r="H63" s="163" t="s">
        <v>217</v>
      </c>
      <c r="I63" s="161" t="s">
        <v>216</v>
      </c>
      <c r="J63" s="106" t="s">
        <v>2</v>
      </c>
      <c r="K63" s="142" t="s">
        <v>3</v>
      </c>
    </row>
    <row r="64" spans="1:11" ht="12.75">
      <c r="A64" s="189" t="s">
        <v>4</v>
      </c>
      <c r="B64" s="42" t="s">
        <v>5</v>
      </c>
      <c r="C64" s="117" t="s">
        <v>6</v>
      </c>
      <c r="D64" s="31" t="s">
        <v>7</v>
      </c>
      <c r="E64" s="108" t="s">
        <v>193</v>
      </c>
      <c r="F64" s="161" t="s">
        <v>306</v>
      </c>
      <c r="G64" s="164" t="s">
        <v>213</v>
      </c>
      <c r="H64" s="29" t="s">
        <v>214</v>
      </c>
      <c r="I64" s="161" t="s">
        <v>411</v>
      </c>
      <c r="J64" s="106" t="s">
        <v>231</v>
      </c>
      <c r="K64" s="106" t="s">
        <v>232</v>
      </c>
    </row>
    <row r="65" spans="1:11" ht="12.75">
      <c r="A65" s="204"/>
      <c r="B65" s="5"/>
      <c r="C65" s="118"/>
      <c r="D65" s="32" t="s">
        <v>8</v>
      </c>
      <c r="E65" s="41" t="s">
        <v>194</v>
      </c>
      <c r="F65" s="165" t="s">
        <v>409</v>
      </c>
      <c r="G65" s="165"/>
      <c r="H65" s="165" t="s">
        <v>410</v>
      </c>
      <c r="I65" s="165"/>
      <c r="J65" s="113" t="s">
        <v>195</v>
      </c>
      <c r="K65" s="113" t="s">
        <v>411</v>
      </c>
    </row>
    <row r="66" spans="1:11" ht="12.75">
      <c r="A66" s="205">
        <v>1</v>
      </c>
      <c r="B66" s="56">
        <v>2</v>
      </c>
      <c r="C66" s="119">
        <v>3</v>
      </c>
      <c r="D66" s="56"/>
      <c r="E66" s="56">
        <v>4</v>
      </c>
      <c r="F66" s="196">
        <v>4</v>
      </c>
      <c r="G66" s="196">
        <v>5</v>
      </c>
      <c r="H66" s="196">
        <v>5</v>
      </c>
      <c r="I66" s="196">
        <v>6</v>
      </c>
      <c r="J66" s="221">
        <v>7</v>
      </c>
      <c r="K66" s="135">
        <v>8</v>
      </c>
    </row>
    <row r="67" spans="1:11" ht="12.75">
      <c r="A67" s="189">
        <v>1</v>
      </c>
      <c r="B67" s="7" t="s">
        <v>119</v>
      </c>
      <c r="C67" s="83" t="s">
        <v>122</v>
      </c>
      <c r="D67" s="26"/>
      <c r="E67" s="44">
        <f>E68+E71</f>
        <v>0</v>
      </c>
      <c r="F67" s="26">
        <f>F68+F71</f>
        <v>226317</v>
      </c>
      <c r="G67" s="26">
        <f>G68+G71</f>
        <v>-18.840000000000146</v>
      </c>
      <c r="H67" s="26">
        <f>H68+H71</f>
        <v>225139.96</v>
      </c>
      <c r="I67" s="26">
        <f>I68+I71</f>
        <v>100</v>
      </c>
      <c r="J67" s="213">
        <f>I67/H67</f>
        <v>0.0004441681521130234</v>
      </c>
      <c r="K67" s="136">
        <f>I67/I$54</f>
        <v>3.023374706968552E-06</v>
      </c>
    </row>
    <row r="68" spans="1:11" s="67" customFormat="1" ht="12.75">
      <c r="A68" s="189">
        <f>A67+1</f>
        <v>2</v>
      </c>
      <c r="B68" s="64" t="s">
        <v>196</v>
      </c>
      <c r="C68" s="70" t="s">
        <v>197</v>
      </c>
      <c r="D68" s="65"/>
      <c r="E68" s="66">
        <f>E70</f>
        <v>0</v>
      </c>
      <c r="F68" s="65">
        <f>F70</f>
        <v>870</v>
      </c>
      <c r="G68" s="65">
        <f>G70</f>
        <v>0</v>
      </c>
      <c r="H68" s="65">
        <f>H70</f>
        <v>100</v>
      </c>
      <c r="I68" s="65">
        <f>I70</f>
        <v>100</v>
      </c>
      <c r="J68" s="217">
        <f>I68/H68</f>
        <v>1</v>
      </c>
      <c r="K68" s="139">
        <f>I68/I$54</f>
        <v>3.023374706968552E-06</v>
      </c>
    </row>
    <row r="69" spans="1:11" s="62" customFormat="1" ht="12.75">
      <c r="A69" s="189">
        <f>A68+1</f>
        <v>3</v>
      </c>
      <c r="B69" s="90">
        <v>2850</v>
      </c>
      <c r="C69" s="112" t="s">
        <v>198</v>
      </c>
      <c r="D69" s="89"/>
      <c r="E69" s="87"/>
      <c r="F69" s="170"/>
      <c r="G69" s="170"/>
      <c r="H69" s="170"/>
      <c r="I69" s="170"/>
      <c r="J69" s="106"/>
      <c r="K69" s="133"/>
    </row>
    <row r="70" spans="1:11" s="62" customFormat="1" ht="12.75">
      <c r="A70" s="189">
        <f>A69+1</f>
        <v>4</v>
      </c>
      <c r="B70" s="90"/>
      <c r="C70" s="84" t="s">
        <v>199</v>
      </c>
      <c r="D70" s="89"/>
      <c r="E70" s="87">
        <v>0</v>
      </c>
      <c r="F70" s="170">
        <v>870</v>
      </c>
      <c r="G70" s="170">
        <v>0</v>
      </c>
      <c r="H70" s="170">
        <v>100</v>
      </c>
      <c r="I70" s="170">
        <v>100</v>
      </c>
      <c r="J70" s="106">
        <f>I70/H70</f>
        <v>1</v>
      </c>
      <c r="K70" s="133">
        <f>I70/I$54</f>
        <v>3.023374706968552E-06</v>
      </c>
    </row>
    <row r="71" spans="1:11" ht="12.75">
      <c r="A71" s="189">
        <f>A70+1</f>
        <v>5</v>
      </c>
      <c r="B71" s="8" t="s">
        <v>120</v>
      </c>
      <c r="C71" s="70" t="s">
        <v>15</v>
      </c>
      <c r="D71" s="26"/>
      <c r="E71" s="46">
        <f>SUM(E74:E74)</f>
        <v>0</v>
      </c>
      <c r="F71" s="27">
        <f>F72+F73+F74+F83</f>
        <v>225447</v>
      </c>
      <c r="G71" s="27">
        <f>SUM(G74:G74)</f>
        <v>-18.840000000000146</v>
      </c>
      <c r="H71" s="27">
        <f>H72+H73+H74+H83</f>
        <v>225039.96</v>
      </c>
      <c r="I71" s="27">
        <f>I72+I73+I74+I83</f>
        <v>0</v>
      </c>
      <c r="J71" s="217">
        <f>I71/H71</f>
        <v>0</v>
      </c>
      <c r="K71" s="139">
        <f>I71/I$54</f>
        <v>0</v>
      </c>
    </row>
    <row r="72" spans="1:11" ht="12.75">
      <c r="A72" s="189">
        <f aca="true" t="shared" si="0" ref="A72:A148">A71+1</f>
        <v>6</v>
      </c>
      <c r="B72" s="160">
        <v>4210</v>
      </c>
      <c r="C72" s="42" t="s">
        <v>412</v>
      </c>
      <c r="D72" s="26"/>
      <c r="E72" s="46"/>
      <c r="F72" s="29">
        <v>7000</v>
      </c>
      <c r="G72" s="29"/>
      <c r="H72" s="29">
        <v>7000</v>
      </c>
      <c r="I72" s="29">
        <v>0</v>
      </c>
      <c r="J72" s="106">
        <f>I72/H72</f>
        <v>0</v>
      </c>
      <c r="K72" s="133">
        <f>I72/I$54</f>
        <v>0</v>
      </c>
    </row>
    <row r="73" spans="1:11" ht="12.75">
      <c r="A73" s="189">
        <f t="shared" si="0"/>
        <v>7</v>
      </c>
      <c r="B73" s="185">
        <v>4300</v>
      </c>
      <c r="C73" s="42" t="s">
        <v>413</v>
      </c>
      <c r="D73" s="26"/>
      <c r="E73" s="46"/>
      <c r="F73" s="171">
        <v>3000</v>
      </c>
      <c r="G73" s="171"/>
      <c r="H73" s="171">
        <v>3000</v>
      </c>
      <c r="I73" s="171">
        <v>0</v>
      </c>
      <c r="J73" s="106">
        <f>I73/H73</f>
        <v>0</v>
      </c>
      <c r="K73" s="133">
        <f>I73/I$54</f>
        <v>0</v>
      </c>
    </row>
    <row r="74" spans="1:11" ht="12.75">
      <c r="A74" s="189">
        <f t="shared" si="0"/>
        <v>8</v>
      </c>
      <c r="B74" s="4">
        <v>6050</v>
      </c>
      <c r="C74" s="84" t="s">
        <v>159</v>
      </c>
      <c r="D74" s="26"/>
      <c r="E74" s="49">
        <f>SUM(E78:E78)</f>
        <v>0</v>
      </c>
      <c r="F74" s="24">
        <f>SUM(F76:F79)</f>
        <v>197650</v>
      </c>
      <c r="G74" s="24">
        <f>SUM(G78:G78)</f>
        <v>-18.840000000000146</v>
      </c>
      <c r="H74" s="24">
        <f>SUM(H76:H79)</f>
        <v>197631.16</v>
      </c>
      <c r="I74" s="24">
        <f>SUM(I76:I79)</f>
        <v>0</v>
      </c>
      <c r="J74" s="106">
        <f>I74/H74</f>
        <v>0</v>
      </c>
      <c r="K74" s="133">
        <f>I74/I$54</f>
        <v>0</v>
      </c>
    </row>
    <row r="75" spans="1:11" ht="12.75">
      <c r="A75" s="189">
        <f t="shared" si="0"/>
        <v>9</v>
      </c>
      <c r="B75" s="4"/>
      <c r="C75" s="84" t="s">
        <v>16</v>
      </c>
      <c r="D75" s="26"/>
      <c r="E75" s="48"/>
      <c r="F75" s="161"/>
      <c r="G75" s="161"/>
      <c r="H75" s="161"/>
      <c r="I75" s="161"/>
      <c r="J75" s="106"/>
      <c r="K75" s="133"/>
    </row>
    <row r="76" spans="1:11" ht="12.75">
      <c r="A76" s="189">
        <f t="shared" si="0"/>
        <v>10</v>
      </c>
      <c r="B76" s="4"/>
      <c r="C76" s="112" t="s">
        <v>414</v>
      </c>
      <c r="D76" s="26"/>
      <c r="E76" s="48"/>
      <c r="F76" s="161">
        <v>78000</v>
      </c>
      <c r="G76" s="161"/>
      <c r="H76" s="161">
        <v>78000</v>
      </c>
      <c r="I76" s="161">
        <v>0</v>
      </c>
      <c r="J76" s="106">
        <f>I76/H76</f>
        <v>0</v>
      </c>
      <c r="K76" s="133">
        <f>I76/I$54</f>
        <v>0</v>
      </c>
    </row>
    <row r="77" spans="1:11" ht="12.75">
      <c r="A77" s="189">
        <f t="shared" si="0"/>
        <v>11</v>
      </c>
      <c r="B77" s="4"/>
      <c r="C77" s="112" t="s">
        <v>316</v>
      </c>
      <c r="D77" s="26"/>
      <c r="E77" s="48"/>
      <c r="F77" s="161">
        <v>61000</v>
      </c>
      <c r="G77" s="161"/>
      <c r="H77" s="161">
        <v>61000</v>
      </c>
      <c r="I77" s="161">
        <v>0</v>
      </c>
      <c r="J77" s="106">
        <f>I77/H77</f>
        <v>0</v>
      </c>
      <c r="K77" s="133">
        <f>I77/I$54</f>
        <v>0</v>
      </c>
    </row>
    <row r="78" spans="1:11" ht="12.75">
      <c r="A78" s="189">
        <f t="shared" si="0"/>
        <v>12</v>
      </c>
      <c r="B78" s="4"/>
      <c r="C78" s="112" t="s">
        <v>415</v>
      </c>
      <c r="D78" s="26"/>
      <c r="E78" s="48"/>
      <c r="F78" s="170">
        <v>13650</v>
      </c>
      <c r="G78" s="161">
        <f>H78-F78</f>
        <v>-18.840000000000146</v>
      </c>
      <c r="H78" s="170">
        <v>13631.16</v>
      </c>
      <c r="I78" s="170">
        <v>0</v>
      </c>
      <c r="J78" s="106">
        <f>I78/H78</f>
        <v>0</v>
      </c>
      <c r="K78" s="133">
        <f>I78/I$54</f>
        <v>0</v>
      </c>
    </row>
    <row r="79" spans="1:11" ht="12.75">
      <c r="A79" s="189">
        <f t="shared" si="0"/>
        <v>13</v>
      </c>
      <c r="B79" s="4"/>
      <c r="C79" s="112" t="s">
        <v>416</v>
      </c>
      <c r="D79" s="26"/>
      <c r="E79" s="48"/>
      <c r="F79" s="170">
        <v>45000</v>
      </c>
      <c r="G79" s="161"/>
      <c r="H79" s="170">
        <v>45000</v>
      </c>
      <c r="I79" s="170">
        <v>0</v>
      </c>
      <c r="J79" s="106">
        <f>I79/H79</f>
        <v>0</v>
      </c>
      <c r="K79" s="133">
        <f>I79/I$54</f>
        <v>0</v>
      </c>
    </row>
    <row r="80" spans="1:11" ht="12.75">
      <c r="A80" s="189">
        <f t="shared" si="0"/>
        <v>14</v>
      </c>
      <c r="B80" s="4">
        <v>6220</v>
      </c>
      <c r="C80" s="112" t="s">
        <v>344</v>
      </c>
      <c r="D80" s="26"/>
      <c r="E80" s="48"/>
      <c r="F80" s="170"/>
      <c r="G80" s="161"/>
      <c r="H80" s="170"/>
      <c r="I80" s="170"/>
      <c r="J80" s="106"/>
      <c r="K80" s="133"/>
    </row>
    <row r="81" spans="1:11" ht="12.75">
      <c r="A81" s="189">
        <f t="shared" si="0"/>
        <v>15</v>
      </c>
      <c r="B81" s="4"/>
      <c r="C81" s="112" t="s">
        <v>345</v>
      </c>
      <c r="D81" s="26"/>
      <c r="E81" s="48"/>
      <c r="F81" s="170"/>
      <c r="G81" s="161"/>
      <c r="H81" s="170"/>
      <c r="I81" s="170"/>
      <c r="J81" s="106"/>
      <c r="K81" s="133"/>
    </row>
    <row r="82" spans="1:11" ht="12.75">
      <c r="A82" s="189">
        <f t="shared" si="0"/>
        <v>16</v>
      </c>
      <c r="B82" s="4"/>
      <c r="C82" s="112" t="s">
        <v>346</v>
      </c>
      <c r="D82" s="26"/>
      <c r="E82" s="48"/>
      <c r="F82" s="170"/>
      <c r="G82" s="161"/>
      <c r="H82" s="170"/>
      <c r="I82" s="170"/>
      <c r="J82" s="106"/>
      <c r="K82" s="133"/>
    </row>
    <row r="83" spans="1:11" ht="12.75">
      <c r="A83" s="189">
        <f t="shared" si="0"/>
        <v>17</v>
      </c>
      <c r="B83" s="4"/>
      <c r="C83" s="112" t="s">
        <v>347</v>
      </c>
      <c r="D83" s="26"/>
      <c r="E83" s="48"/>
      <c r="F83" s="170">
        <v>17797</v>
      </c>
      <c r="G83" s="161"/>
      <c r="H83" s="170">
        <v>17408.8</v>
      </c>
      <c r="I83" s="170">
        <v>0</v>
      </c>
      <c r="J83" s="106">
        <f>I83/H83</f>
        <v>0</v>
      </c>
      <c r="K83" s="133">
        <f>I83/I$54</f>
        <v>0</v>
      </c>
    </row>
    <row r="84" spans="1:11" ht="15">
      <c r="A84" s="189">
        <f t="shared" si="0"/>
        <v>18</v>
      </c>
      <c r="B84" s="9">
        <v>600</v>
      </c>
      <c r="C84" s="83" t="s">
        <v>121</v>
      </c>
      <c r="D84" s="26"/>
      <c r="E84" s="44" t="e">
        <f>E85+E92</f>
        <v>#REF!</v>
      </c>
      <c r="F84" s="26">
        <f>F85+F92+F135</f>
        <v>4761683</v>
      </c>
      <c r="G84" s="26" t="e">
        <f>G85+G92+G135</f>
        <v>#REF!</v>
      </c>
      <c r="H84" s="26">
        <f>H85+H92+H135</f>
        <v>2487303.25</v>
      </c>
      <c r="I84" s="26">
        <f>I85+I92+I135</f>
        <v>4667650</v>
      </c>
      <c r="J84" s="213">
        <f>I84/H84</f>
        <v>1.8765906408878772</v>
      </c>
      <c r="K84" s="136">
        <f>I84/I$54</f>
        <v>0.14112054950981762</v>
      </c>
    </row>
    <row r="85" spans="1:11" s="67" customFormat="1" ht="12.75">
      <c r="A85" s="189">
        <f t="shared" si="0"/>
        <v>19</v>
      </c>
      <c r="B85" s="64">
        <v>60014</v>
      </c>
      <c r="C85" s="70" t="s">
        <v>123</v>
      </c>
      <c r="D85" s="65"/>
      <c r="E85" s="66">
        <f>E86</f>
        <v>0</v>
      </c>
      <c r="F85" s="65">
        <f>SUM(F86:F91)</f>
        <v>691966</v>
      </c>
      <c r="G85" s="65">
        <f>SUM(G86:G91)</f>
        <v>0</v>
      </c>
      <c r="H85" s="65">
        <f>SUM(H86:H91)</f>
        <v>679983</v>
      </c>
      <c r="I85" s="65">
        <f>SUM(I86:I91)</f>
        <v>0</v>
      </c>
      <c r="J85" s="213">
        <f>I85/H85</f>
        <v>0</v>
      </c>
      <c r="K85" s="136">
        <f>I85/I$54</f>
        <v>0</v>
      </c>
    </row>
    <row r="86" spans="1:11" s="62" customFormat="1" ht="12.75">
      <c r="A86" s="189">
        <f t="shared" si="0"/>
        <v>20</v>
      </c>
      <c r="B86" s="90">
        <v>4300</v>
      </c>
      <c r="C86" s="84" t="s">
        <v>160</v>
      </c>
      <c r="D86" s="89"/>
      <c r="E86" s="87">
        <v>0</v>
      </c>
      <c r="F86" s="170">
        <v>28200</v>
      </c>
      <c r="G86" s="170">
        <v>0</v>
      </c>
      <c r="H86" s="170">
        <v>28200</v>
      </c>
      <c r="I86" s="170">
        <v>0</v>
      </c>
      <c r="J86" s="106">
        <f>I86/H86</f>
        <v>0</v>
      </c>
      <c r="K86" s="133">
        <f>I86/I$54</f>
        <v>0</v>
      </c>
    </row>
    <row r="87" spans="1:11" s="62" customFormat="1" ht="12.75">
      <c r="A87" s="189">
        <f t="shared" si="0"/>
        <v>21</v>
      </c>
      <c r="B87" s="90">
        <v>6620</v>
      </c>
      <c r="C87" s="84" t="s">
        <v>307</v>
      </c>
      <c r="D87" s="89"/>
      <c r="E87" s="87"/>
      <c r="F87" s="170"/>
      <c r="G87" s="170"/>
      <c r="H87" s="170"/>
      <c r="I87" s="170"/>
      <c r="J87" s="106"/>
      <c r="K87" s="133"/>
    </row>
    <row r="88" spans="1:11" s="62" customFormat="1" ht="12.75">
      <c r="A88" s="189">
        <f t="shared" si="0"/>
        <v>22</v>
      </c>
      <c r="B88" s="90"/>
      <c r="C88" s="84" t="s">
        <v>368</v>
      </c>
      <c r="D88" s="89"/>
      <c r="E88" s="87"/>
      <c r="F88" s="170"/>
      <c r="G88" s="170"/>
      <c r="H88" s="170"/>
      <c r="I88" s="170"/>
      <c r="J88" s="106"/>
      <c r="K88" s="133"/>
    </row>
    <row r="89" spans="1:11" s="62" customFormat="1" ht="12.75">
      <c r="A89" s="189">
        <f t="shared" si="0"/>
        <v>23</v>
      </c>
      <c r="B89" s="90"/>
      <c r="C89" s="84" t="s">
        <v>367</v>
      </c>
      <c r="D89" s="89"/>
      <c r="E89" s="87"/>
      <c r="F89" s="170"/>
      <c r="G89" s="170"/>
      <c r="H89" s="170"/>
      <c r="I89" s="170"/>
      <c r="J89" s="106"/>
      <c r="K89" s="133"/>
    </row>
    <row r="90" spans="1:11" s="62" customFormat="1" ht="12.75">
      <c r="A90" s="189">
        <f t="shared" si="0"/>
        <v>24</v>
      </c>
      <c r="B90" s="90"/>
      <c r="C90" s="84" t="s">
        <v>369</v>
      </c>
      <c r="D90" s="89"/>
      <c r="E90" s="87"/>
      <c r="F90" s="170"/>
      <c r="G90" s="170"/>
      <c r="H90" s="170"/>
      <c r="I90" s="170"/>
      <c r="J90" s="106"/>
      <c r="K90" s="133"/>
    </row>
    <row r="91" spans="1:11" s="62" customFormat="1" ht="12.75">
      <c r="A91" s="189">
        <f t="shared" si="0"/>
        <v>25</v>
      </c>
      <c r="B91" s="90"/>
      <c r="C91" s="84" t="s">
        <v>370</v>
      </c>
      <c r="D91" s="89"/>
      <c r="E91" s="87"/>
      <c r="F91" s="170">
        <f>847350-183584</f>
        <v>663766</v>
      </c>
      <c r="G91" s="170"/>
      <c r="H91" s="170">
        <v>651783</v>
      </c>
      <c r="I91" s="170">
        <v>0</v>
      </c>
      <c r="J91" s="106">
        <f>I91/H91</f>
        <v>0</v>
      </c>
      <c r="K91" s="133">
        <f>I91/I$54</f>
        <v>0</v>
      </c>
    </row>
    <row r="92" spans="1:11" ht="12.75">
      <c r="A92" s="189">
        <f t="shared" si="0"/>
        <v>26</v>
      </c>
      <c r="B92" s="10">
        <v>60016</v>
      </c>
      <c r="C92" s="70" t="s">
        <v>17</v>
      </c>
      <c r="D92" s="26"/>
      <c r="E92" s="46" t="e">
        <f>#REF!+E94+E108</f>
        <v>#REF!</v>
      </c>
      <c r="F92" s="27">
        <f>+F93+F94+F104+F108+F134</f>
        <v>3962863</v>
      </c>
      <c r="G92" s="27" t="e">
        <f>#REF!+G94+G108</f>
        <v>#REF!</v>
      </c>
      <c r="H92" s="27">
        <f>+H93+H94+H104+H108+H134</f>
        <v>1700467.1199999999</v>
      </c>
      <c r="I92" s="27">
        <f>+I93+I94+I104+I108+I134</f>
        <v>4497650</v>
      </c>
      <c r="J92" s="217">
        <f>I92/H92</f>
        <v>2.644949700644609</v>
      </c>
      <c r="K92" s="139">
        <f>I92/I$54</f>
        <v>0.1359808125079711</v>
      </c>
    </row>
    <row r="93" spans="1:11" s="62" customFormat="1" ht="12.75">
      <c r="A93" s="189">
        <f t="shared" si="0"/>
        <v>27</v>
      </c>
      <c r="B93" s="90">
        <v>4210</v>
      </c>
      <c r="C93" s="84" t="s">
        <v>162</v>
      </c>
      <c r="D93" s="89"/>
      <c r="E93" s="87"/>
      <c r="F93" s="89">
        <v>0</v>
      </c>
      <c r="G93" s="89"/>
      <c r="H93" s="89">
        <v>0</v>
      </c>
      <c r="I93" s="89">
        <v>0</v>
      </c>
      <c r="J93" s="106"/>
      <c r="K93" s="133"/>
    </row>
    <row r="94" spans="1:11" s="33" customFormat="1" ht="12.75">
      <c r="A94" s="189">
        <f t="shared" si="0"/>
        <v>28</v>
      </c>
      <c r="B94" s="14">
        <v>4300</v>
      </c>
      <c r="C94" s="126" t="s">
        <v>160</v>
      </c>
      <c r="D94" s="26"/>
      <c r="E94" s="51">
        <f>SUM(E96:E100)</f>
        <v>260000</v>
      </c>
      <c r="F94" s="172">
        <f>SUM(F96:F103)</f>
        <v>268790</v>
      </c>
      <c r="G94" s="172">
        <f>SUM(G96:G100)</f>
        <v>-98.27999999999884</v>
      </c>
      <c r="H94" s="172">
        <f>SUM(H96:H103)</f>
        <v>268691.72</v>
      </c>
      <c r="I94" s="172">
        <f>SUM(I96:I103)</f>
        <v>250000</v>
      </c>
      <c r="J94" s="106">
        <f>I94/H94</f>
        <v>0.9304343282331142</v>
      </c>
      <c r="K94" s="133">
        <f>I94/I$54</f>
        <v>0.007558436767421381</v>
      </c>
    </row>
    <row r="95" spans="1:11" s="33" customFormat="1" ht="12.75">
      <c r="A95" s="189">
        <f t="shared" si="0"/>
        <v>29</v>
      </c>
      <c r="B95" s="14"/>
      <c r="C95" s="126" t="s">
        <v>16</v>
      </c>
      <c r="D95" s="26"/>
      <c r="E95" s="48"/>
      <c r="F95" s="161"/>
      <c r="G95" s="161"/>
      <c r="H95" s="161"/>
      <c r="I95" s="161"/>
      <c r="J95" s="106"/>
      <c r="K95" s="133"/>
    </row>
    <row r="96" spans="1:11" s="33" customFormat="1" ht="12.75">
      <c r="A96" s="189">
        <f t="shared" si="0"/>
        <v>30</v>
      </c>
      <c r="B96" s="14"/>
      <c r="C96" s="126" t="s">
        <v>18</v>
      </c>
      <c r="D96" s="26"/>
      <c r="E96" s="48">
        <v>17000</v>
      </c>
      <c r="F96" s="161">
        <v>14640</v>
      </c>
      <c r="G96" s="161">
        <f>H96-F96</f>
        <v>0</v>
      </c>
      <c r="H96" s="161">
        <v>14640</v>
      </c>
      <c r="I96" s="161">
        <v>15000</v>
      </c>
      <c r="J96" s="106">
        <f aca="true" t="shared" si="1" ref="J96:J103">I96/H96</f>
        <v>1.0245901639344261</v>
      </c>
      <c r="K96" s="133">
        <f aca="true" t="shared" si="2" ref="K96:K103">I96/I$54</f>
        <v>0.00045350620604528284</v>
      </c>
    </row>
    <row r="97" spans="1:11" ht="12.75">
      <c r="A97" s="189">
        <f t="shared" si="0"/>
        <v>31</v>
      </c>
      <c r="B97" s="4"/>
      <c r="C97" s="84" t="s">
        <v>189</v>
      </c>
      <c r="D97" s="26"/>
      <c r="E97" s="48">
        <v>60000</v>
      </c>
      <c r="F97" s="161">
        <v>75550</v>
      </c>
      <c r="G97" s="161">
        <f>H97-F97</f>
        <v>-5.919999999998254</v>
      </c>
      <c r="H97" s="161">
        <v>75544.08</v>
      </c>
      <c r="I97" s="161">
        <v>76000</v>
      </c>
      <c r="J97" s="106">
        <f t="shared" si="1"/>
        <v>1.0060351519271926</v>
      </c>
      <c r="K97" s="133">
        <f t="shared" si="2"/>
        <v>0.0022977647772960998</v>
      </c>
    </row>
    <row r="98" spans="1:11" ht="12.75">
      <c r="A98" s="189">
        <f t="shared" si="0"/>
        <v>32</v>
      </c>
      <c r="B98" s="4"/>
      <c r="C98" s="84" t="s">
        <v>190</v>
      </c>
      <c r="D98" s="26"/>
      <c r="E98" s="48">
        <f>1000000-900000</f>
        <v>100000</v>
      </c>
      <c r="F98" s="161">
        <v>14500</v>
      </c>
      <c r="G98" s="161">
        <f>H98-F98</f>
        <v>-92.36000000000058</v>
      </c>
      <c r="H98" s="161">
        <v>14407.64</v>
      </c>
      <c r="I98" s="161">
        <v>15000</v>
      </c>
      <c r="J98" s="106">
        <f t="shared" si="1"/>
        <v>1.0411142976920578</v>
      </c>
      <c r="K98" s="133">
        <f t="shared" si="2"/>
        <v>0.00045350620604528284</v>
      </c>
    </row>
    <row r="99" spans="1:11" ht="12.75">
      <c r="A99" s="189">
        <f t="shared" si="0"/>
        <v>33</v>
      </c>
      <c r="B99" s="4"/>
      <c r="C99" s="84" t="s">
        <v>19</v>
      </c>
      <c r="D99" s="26"/>
      <c r="E99" s="48">
        <v>60000</v>
      </c>
      <c r="F99" s="161">
        <v>35000</v>
      </c>
      <c r="G99" s="161">
        <f>H99-F99</f>
        <v>0</v>
      </c>
      <c r="H99" s="161">
        <v>35000</v>
      </c>
      <c r="I99" s="161">
        <v>35000</v>
      </c>
      <c r="J99" s="106">
        <f t="shared" si="1"/>
        <v>1</v>
      </c>
      <c r="K99" s="133">
        <f t="shared" si="2"/>
        <v>0.0010581811474389934</v>
      </c>
    </row>
    <row r="100" spans="1:11" ht="12.75">
      <c r="A100" s="189">
        <f t="shared" si="0"/>
        <v>34</v>
      </c>
      <c r="B100" s="4"/>
      <c r="C100" s="84" t="s">
        <v>20</v>
      </c>
      <c r="D100" s="26"/>
      <c r="E100" s="48">
        <v>23000</v>
      </c>
      <c r="F100" s="161">
        <v>29000</v>
      </c>
      <c r="G100" s="161">
        <v>0</v>
      </c>
      <c r="H100" s="161">
        <v>29000</v>
      </c>
      <c r="I100" s="161">
        <v>29000</v>
      </c>
      <c r="J100" s="106">
        <f t="shared" si="1"/>
        <v>1</v>
      </c>
      <c r="K100" s="133">
        <f t="shared" si="2"/>
        <v>0.0008767786650208802</v>
      </c>
    </row>
    <row r="101" spans="1:11" ht="12.75">
      <c r="A101" s="189">
        <f t="shared" si="0"/>
        <v>35</v>
      </c>
      <c r="B101" s="4"/>
      <c r="C101" s="84" t="s">
        <v>567</v>
      </c>
      <c r="D101" s="26"/>
      <c r="E101" s="48"/>
      <c r="F101" s="161"/>
      <c r="G101" s="161"/>
      <c r="H101" s="161"/>
      <c r="I101" s="161"/>
      <c r="J101" s="106"/>
      <c r="K101" s="133"/>
    </row>
    <row r="102" spans="1:11" ht="12.75">
      <c r="A102" s="189">
        <f t="shared" si="0"/>
        <v>36</v>
      </c>
      <c r="B102" s="4"/>
      <c r="C102" s="84" t="s">
        <v>568</v>
      </c>
      <c r="D102" s="26"/>
      <c r="E102" s="48"/>
      <c r="F102" s="161">
        <v>0</v>
      </c>
      <c r="G102" s="161"/>
      <c r="H102" s="161">
        <v>0</v>
      </c>
      <c r="I102" s="161">
        <v>30000</v>
      </c>
      <c r="J102" s="106"/>
      <c r="K102" s="133">
        <f t="shared" si="2"/>
        <v>0.0009070124120905657</v>
      </c>
    </row>
    <row r="103" spans="1:11" ht="12.75">
      <c r="A103" s="189">
        <f t="shared" si="0"/>
        <v>37</v>
      </c>
      <c r="B103" s="4"/>
      <c r="C103" s="84" t="s">
        <v>317</v>
      </c>
      <c r="D103" s="26"/>
      <c r="E103" s="48"/>
      <c r="F103" s="161">
        <v>100100</v>
      </c>
      <c r="G103" s="161"/>
      <c r="H103" s="161">
        <v>100100</v>
      </c>
      <c r="I103" s="161">
        <f>100000-50000</f>
        <v>50000</v>
      </c>
      <c r="J103" s="106">
        <f t="shared" si="1"/>
        <v>0.4995004995004995</v>
      </c>
      <c r="K103" s="133">
        <f t="shared" si="2"/>
        <v>0.0015116873534842762</v>
      </c>
    </row>
    <row r="104" spans="1:11" ht="12.75">
      <c r="A104" s="189">
        <f t="shared" si="0"/>
        <v>38</v>
      </c>
      <c r="B104" s="4">
        <v>4430</v>
      </c>
      <c r="C104" s="84" t="s">
        <v>417</v>
      </c>
      <c r="D104" s="26"/>
      <c r="E104" s="48"/>
      <c r="F104" s="161">
        <f>SUM(F106:F107)</f>
        <v>3650</v>
      </c>
      <c r="G104" s="161"/>
      <c r="H104" s="161">
        <f>SUM(H106:H107)</f>
        <v>3648.5</v>
      </c>
      <c r="I104" s="161">
        <f>SUM(I106:I107)</f>
        <v>7650</v>
      </c>
      <c r="J104" s="106">
        <f>I104/H104</f>
        <v>2.096752089899959</v>
      </c>
      <c r="K104" s="133">
        <f>I104/I$54</f>
        <v>0.00023128816508309423</v>
      </c>
    </row>
    <row r="105" spans="1:11" ht="12.75">
      <c r="A105" s="189">
        <f t="shared" si="0"/>
        <v>39</v>
      </c>
      <c r="B105" s="4"/>
      <c r="C105" s="84" t="s">
        <v>16</v>
      </c>
      <c r="D105" s="26"/>
      <c r="E105" s="48"/>
      <c r="F105" s="161"/>
      <c r="G105" s="161"/>
      <c r="H105" s="161"/>
      <c r="I105" s="161"/>
      <c r="J105" s="106"/>
      <c r="K105" s="133"/>
    </row>
    <row r="106" spans="1:11" ht="12.75">
      <c r="A106" s="189">
        <f t="shared" si="0"/>
        <v>40</v>
      </c>
      <c r="B106" s="4"/>
      <c r="C106" s="84" t="s">
        <v>418</v>
      </c>
      <c r="D106" s="26"/>
      <c r="E106" s="48"/>
      <c r="F106" s="161">
        <v>2000</v>
      </c>
      <c r="G106" s="161"/>
      <c r="H106" s="161">
        <v>2000</v>
      </c>
      <c r="I106" s="161">
        <v>6000</v>
      </c>
      <c r="J106" s="106">
        <f>I106/H106</f>
        <v>3</v>
      </c>
      <c r="K106" s="133">
        <f>I106/I$54</f>
        <v>0.00018140248241811313</v>
      </c>
    </row>
    <row r="107" spans="1:11" ht="12.75">
      <c r="A107" s="189">
        <f t="shared" si="0"/>
        <v>41</v>
      </c>
      <c r="B107" s="4"/>
      <c r="C107" s="84" t="s">
        <v>419</v>
      </c>
      <c r="D107" s="26"/>
      <c r="E107" s="48"/>
      <c r="F107" s="161">
        <v>1650</v>
      </c>
      <c r="G107" s="161"/>
      <c r="H107" s="161">
        <v>1648.5</v>
      </c>
      <c r="I107" s="161">
        <v>1650</v>
      </c>
      <c r="J107" s="106">
        <f>I107/H107</f>
        <v>1.0009099181073704</v>
      </c>
      <c r="K107" s="133">
        <f>I107/I$54</f>
        <v>4.988568266498111E-05</v>
      </c>
    </row>
    <row r="108" spans="1:11" ht="12.75">
      <c r="A108" s="189">
        <f t="shared" si="0"/>
        <v>42</v>
      </c>
      <c r="B108" s="4">
        <v>6050</v>
      </c>
      <c r="C108" s="84" t="s">
        <v>159</v>
      </c>
      <c r="D108" s="26"/>
      <c r="E108" s="47" t="e">
        <f>SUM(#REF!)</f>
        <v>#REF!</v>
      </c>
      <c r="F108" s="29">
        <f>SUM(F110:F131)</f>
        <v>3690423</v>
      </c>
      <c r="G108" s="29">
        <f>SUM(G110:G131)</f>
        <v>0</v>
      </c>
      <c r="H108" s="29">
        <f>SUM(H110:H131)</f>
        <v>1428126.9</v>
      </c>
      <c r="I108" s="29">
        <f>SUM(I110:I131)</f>
        <v>4220000</v>
      </c>
      <c r="J108" s="106">
        <f>I108/H108</f>
        <v>2.954919482295306</v>
      </c>
      <c r="K108" s="133">
        <f>I108/I$54</f>
        <v>0.12758641263407292</v>
      </c>
    </row>
    <row r="109" spans="1:11" ht="12.75">
      <c r="A109" s="189">
        <f t="shared" si="0"/>
        <v>43</v>
      </c>
      <c r="B109" s="4"/>
      <c r="C109" s="84" t="s">
        <v>16</v>
      </c>
      <c r="D109" s="26"/>
      <c r="E109" s="48"/>
      <c r="F109" s="161"/>
      <c r="G109" s="161"/>
      <c r="H109" s="161"/>
      <c r="I109" s="161"/>
      <c r="J109" s="106"/>
      <c r="K109" s="133"/>
    </row>
    <row r="110" spans="1:11" ht="12.75">
      <c r="A110" s="189">
        <f t="shared" si="0"/>
        <v>44</v>
      </c>
      <c r="B110" s="4"/>
      <c r="C110" s="84" t="s">
        <v>387</v>
      </c>
      <c r="D110" s="26"/>
      <c r="E110" s="48"/>
      <c r="F110" s="161">
        <v>829221</v>
      </c>
      <c r="G110" s="161"/>
      <c r="H110" s="161">
        <v>829221</v>
      </c>
      <c r="I110" s="161">
        <v>0</v>
      </c>
      <c r="J110" s="106">
        <f>I110/H110</f>
        <v>0</v>
      </c>
      <c r="K110" s="133">
        <f>I110/I$54</f>
        <v>0</v>
      </c>
    </row>
    <row r="111" spans="1:11" ht="12.75">
      <c r="A111" s="189">
        <f t="shared" si="0"/>
        <v>45</v>
      </c>
      <c r="B111" s="4"/>
      <c r="C111" s="84" t="s">
        <v>310</v>
      </c>
      <c r="D111" s="26"/>
      <c r="E111" s="48"/>
      <c r="F111" s="161">
        <v>2335712</v>
      </c>
      <c r="G111" s="161"/>
      <c r="H111" s="161">
        <v>73415.9</v>
      </c>
      <c r="I111" s="161">
        <v>0</v>
      </c>
      <c r="J111" s="106"/>
      <c r="K111" s="133">
        <f>I111/I$54</f>
        <v>0</v>
      </c>
    </row>
    <row r="112" spans="1:11" ht="12.75">
      <c r="A112" s="189">
        <f t="shared" si="0"/>
        <v>46</v>
      </c>
      <c r="B112" s="4"/>
      <c r="C112" s="84" t="s">
        <v>634</v>
      </c>
      <c r="D112" s="26"/>
      <c r="E112" s="48"/>
      <c r="F112" s="161">
        <v>15000</v>
      </c>
      <c r="G112" s="173"/>
      <c r="H112" s="29">
        <v>15000</v>
      </c>
      <c r="I112" s="161">
        <v>500000</v>
      </c>
      <c r="J112" s="106">
        <f>I112/H112</f>
        <v>33.333333333333336</v>
      </c>
      <c r="K112" s="133">
        <f>I112/I$54</f>
        <v>0.015116873534842762</v>
      </c>
    </row>
    <row r="113" spans="1:11" ht="12.75">
      <c r="A113" s="189">
        <f t="shared" si="0"/>
        <v>47</v>
      </c>
      <c r="B113" s="4"/>
      <c r="C113" s="84" t="s">
        <v>358</v>
      </c>
      <c r="D113" s="26"/>
      <c r="E113" s="48"/>
      <c r="F113" s="173">
        <v>6300</v>
      </c>
      <c r="G113" s="173"/>
      <c r="H113" s="29">
        <v>6300</v>
      </c>
      <c r="I113" s="173">
        <v>0</v>
      </c>
      <c r="J113" s="215">
        <f>I113/H113</f>
        <v>0</v>
      </c>
      <c r="K113" s="133">
        <f>I113/I$54</f>
        <v>0</v>
      </c>
    </row>
    <row r="114" spans="1:11" ht="12.75">
      <c r="A114" s="189">
        <f t="shared" si="0"/>
        <v>48</v>
      </c>
      <c r="B114" s="4"/>
      <c r="C114" s="84" t="s">
        <v>420</v>
      </c>
      <c r="D114" s="26"/>
      <c r="E114" s="48"/>
      <c r="F114" s="173"/>
      <c r="G114" s="173"/>
      <c r="H114" s="29"/>
      <c r="I114" s="173"/>
      <c r="J114" s="215"/>
      <c r="K114" s="133"/>
    </row>
    <row r="115" spans="1:11" ht="12.75">
      <c r="A115" s="189">
        <f>A114+1</f>
        <v>49</v>
      </c>
      <c r="B115" s="4"/>
      <c r="C115" s="84" t="s">
        <v>421</v>
      </c>
      <c r="D115" s="26"/>
      <c r="E115" s="48"/>
      <c r="F115" s="173">
        <v>34000</v>
      </c>
      <c r="G115" s="173"/>
      <c r="H115" s="29">
        <v>34000</v>
      </c>
      <c r="I115" s="173">
        <v>0</v>
      </c>
      <c r="J115" s="215">
        <f>I115/H115</f>
        <v>0</v>
      </c>
      <c r="K115" s="133">
        <f>I115/I$54</f>
        <v>0</v>
      </c>
    </row>
    <row r="116" spans="1:11" ht="12.75">
      <c r="A116" s="189">
        <f aca="true" t="shared" si="3" ref="A116:A141">A115+1</f>
        <v>50</v>
      </c>
      <c r="B116" s="4"/>
      <c r="C116" s="84" t="s">
        <v>529</v>
      </c>
      <c r="D116" s="26"/>
      <c r="E116" s="48"/>
      <c r="F116" s="173">
        <f>100000-1180</f>
        <v>98820</v>
      </c>
      <c r="G116" s="173"/>
      <c r="H116" s="29">
        <v>98820</v>
      </c>
      <c r="I116" s="173">
        <v>1000000</v>
      </c>
      <c r="J116" s="215">
        <f>I116/H116</f>
        <v>10.119409026512852</v>
      </c>
      <c r="K116" s="133">
        <f>I116/I$54</f>
        <v>0.030233747069685523</v>
      </c>
    </row>
    <row r="117" spans="1:11" ht="12.75">
      <c r="A117" s="189">
        <f t="shared" si="3"/>
        <v>51</v>
      </c>
      <c r="B117" s="4"/>
      <c r="C117" s="84" t="s">
        <v>422</v>
      </c>
      <c r="D117" s="26"/>
      <c r="E117" s="48"/>
      <c r="F117" s="173">
        <v>5000</v>
      </c>
      <c r="G117" s="173"/>
      <c r="H117" s="29">
        <v>5000</v>
      </c>
      <c r="I117" s="173">
        <v>0</v>
      </c>
      <c r="J117" s="215">
        <f>I117/H117</f>
        <v>0</v>
      </c>
      <c r="K117" s="133">
        <f>I117/I$54</f>
        <v>0</v>
      </c>
    </row>
    <row r="118" spans="1:11" ht="12.75">
      <c r="A118" s="189">
        <f t="shared" si="3"/>
        <v>52</v>
      </c>
      <c r="B118" s="4"/>
      <c r="C118" s="84" t="s">
        <v>632</v>
      </c>
      <c r="D118" s="26"/>
      <c r="E118" s="48"/>
      <c r="F118" s="173"/>
      <c r="G118" s="173"/>
      <c r="H118" s="29"/>
      <c r="I118" s="173"/>
      <c r="J118" s="215"/>
      <c r="K118" s="133"/>
    </row>
    <row r="119" spans="1:11" ht="12.75">
      <c r="A119" s="189">
        <f t="shared" si="3"/>
        <v>53</v>
      </c>
      <c r="B119" s="4"/>
      <c r="C119" s="84" t="s">
        <v>633</v>
      </c>
      <c r="D119" s="26"/>
      <c r="E119" s="48"/>
      <c r="F119" s="173">
        <v>80000</v>
      </c>
      <c r="G119" s="173"/>
      <c r="H119" s="29">
        <v>80000</v>
      </c>
      <c r="I119" s="173">
        <v>1500000</v>
      </c>
      <c r="J119" s="215">
        <f>I119/H119</f>
        <v>18.75</v>
      </c>
      <c r="K119" s="133">
        <f>I119/I$54</f>
        <v>0.04535062060452828</v>
      </c>
    </row>
    <row r="120" spans="1:11" ht="12.75">
      <c r="A120" s="189">
        <f t="shared" si="3"/>
        <v>54</v>
      </c>
      <c r="B120" s="4"/>
      <c r="C120" s="84" t="s">
        <v>423</v>
      </c>
      <c r="D120" s="26"/>
      <c r="E120" s="48"/>
      <c r="F120" s="173">
        <v>180000</v>
      </c>
      <c r="G120" s="173"/>
      <c r="H120" s="29">
        <v>180000</v>
      </c>
      <c r="I120" s="173">
        <v>0</v>
      </c>
      <c r="J120" s="215">
        <f>I120/H120</f>
        <v>0</v>
      </c>
      <c r="K120" s="133">
        <f>I120/I$54</f>
        <v>0</v>
      </c>
    </row>
    <row r="121" spans="1:11" ht="12.75">
      <c r="A121" s="189">
        <f t="shared" si="3"/>
        <v>55</v>
      </c>
      <c r="B121" s="4"/>
      <c r="C121" s="84" t="s">
        <v>424</v>
      </c>
      <c r="D121" s="26"/>
      <c r="E121" s="48"/>
      <c r="F121" s="173"/>
      <c r="G121" s="173"/>
      <c r="H121" s="29"/>
      <c r="I121" s="173"/>
      <c r="J121" s="215"/>
      <c r="K121" s="133"/>
    </row>
    <row r="122" spans="1:11" ht="12.75">
      <c r="A122" s="189">
        <f t="shared" si="3"/>
        <v>56</v>
      </c>
      <c r="B122" s="4"/>
      <c r="C122" s="84" t="s">
        <v>425</v>
      </c>
      <c r="D122" s="26"/>
      <c r="E122" s="48"/>
      <c r="F122" s="173">
        <v>60000</v>
      </c>
      <c r="G122" s="173"/>
      <c r="H122" s="29">
        <v>60000</v>
      </c>
      <c r="I122" s="173">
        <v>0</v>
      </c>
      <c r="J122" s="215">
        <f>I122/H122</f>
        <v>0</v>
      </c>
      <c r="K122" s="133">
        <f aca="true" t="shared" si="4" ref="K122:K131">I122/I$54</f>
        <v>0</v>
      </c>
    </row>
    <row r="123" spans="1:11" ht="12.75">
      <c r="A123" s="189">
        <f t="shared" si="3"/>
        <v>57</v>
      </c>
      <c r="B123" s="4"/>
      <c r="C123" s="84" t="s">
        <v>426</v>
      </c>
      <c r="D123" s="26"/>
      <c r="E123" s="48"/>
      <c r="F123" s="173">
        <v>7100</v>
      </c>
      <c r="G123" s="173"/>
      <c r="H123" s="29">
        <v>7100</v>
      </c>
      <c r="I123" s="173">
        <v>0</v>
      </c>
      <c r="J123" s="215">
        <f>I123/H123</f>
        <v>0</v>
      </c>
      <c r="K123" s="133">
        <f t="shared" si="4"/>
        <v>0</v>
      </c>
    </row>
    <row r="124" spans="1:11" ht="12.75">
      <c r="A124" s="189">
        <f t="shared" si="3"/>
        <v>58</v>
      </c>
      <c r="B124" s="4"/>
      <c r="C124" s="84" t="s">
        <v>427</v>
      </c>
      <c r="D124" s="26"/>
      <c r="E124" s="48"/>
      <c r="F124" s="173">
        <v>35000</v>
      </c>
      <c r="G124" s="173"/>
      <c r="H124" s="29">
        <v>35000</v>
      </c>
      <c r="I124" s="173">
        <v>0</v>
      </c>
      <c r="J124" s="215">
        <f>I124/H124</f>
        <v>0</v>
      </c>
      <c r="K124" s="133">
        <f t="shared" si="4"/>
        <v>0</v>
      </c>
    </row>
    <row r="125" spans="1:11" ht="13.5" customHeight="1">
      <c r="A125" s="189">
        <f t="shared" si="3"/>
        <v>59</v>
      </c>
      <c r="B125" s="4"/>
      <c r="C125" s="84" t="s">
        <v>528</v>
      </c>
      <c r="D125" s="26"/>
      <c r="E125" s="48"/>
      <c r="F125" s="173">
        <v>4270</v>
      </c>
      <c r="G125" s="173"/>
      <c r="H125" s="29">
        <v>4270</v>
      </c>
      <c r="I125" s="173">
        <v>500000</v>
      </c>
      <c r="J125" s="215">
        <f>I125/H125</f>
        <v>117.096018735363</v>
      </c>
      <c r="K125" s="133">
        <f t="shared" si="4"/>
        <v>0.015116873534842762</v>
      </c>
    </row>
    <row r="126" spans="1:11" ht="13.5" customHeight="1">
      <c r="A126" s="189">
        <f t="shared" si="3"/>
        <v>60</v>
      </c>
      <c r="B126" s="4"/>
      <c r="C126" s="112" t="s">
        <v>618</v>
      </c>
      <c r="D126" s="26"/>
      <c r="E126" s="48"/>
      <c r="H126" s="29"/>
      <c r="J126" s="215"/>
      <c r="K126" s="138"/>
    </row>
    <row r="127" spans="1:11" ht="13.5" customHeight="1">
      <c r="A127" s="189">
        <f t="shared" si="3"/>
        <v>61</v>
      </c>
      <c r="B127" s="4"/>
      <c r="C127" s="112" t="s">
        <v>619</v>
      </c>
      <c r="D127" s="26"/>
      <c r="E127" s="48"/>
      <c r="F127" s="173">
        <v>0</v>
      </c>
      <c r="G127" s="173"/>
      <c r="H127" s="29">
        <v>0</v>
      </c>
      <c r="I127" s="173">
        <v>500000</v>
      </c>
      <c r="J127" s="215"/>
      <c r="K127" s="133">
        <f>I127/I$54</f>
        <v>0.015116873534842762</v>
      </c>
    </row>
    <row r="128" spans="1:11" ht="13.5" customHeight="1">
      <c r="A128" s="189">
        <f t="shared" si="3"/>
        <v>62</v>
      </c>
      <c r="B128" s="4"/>
      <c r="C128" s="84" t="s">
        <v>530</v>
      </c>
      <c r="D128" s="26"/>
      <c r="E128" s="48"/>
      <c r="F128" s="173"/>
      <c r="G128" s="173"/>
      <c r="H128" s="29"/>
      <c r="I128" s="173"/>
      <c r="J128" s="215"/>
      <c r="K128" s="133"/>
    </row>
    <row r="129" spans="1:11" ht="13.5" customHeight="1">
      <c r="A129" s="189">
        <f t="shared" si="3"/>
        <v>63</v>
      </c>
      <c r="B129" s="4"/>
      <c r="C129" s="84" t="s">
        <v>531</v>
      </c>
      <c r="D129" s="26"/>
      <c r="E129" s="48"/>
      <c r="F129" s="173">
        <v>0</v>
      </c>
      <c r="G129" s="173"/>
      <c r="H129" s="29">
        <v>0</v>
      </c>
      <c r="I129" s="173">
        <v>100000</v>
      </c>
      <c r="J129" s="215"/>
      <c r="K129" s="133">
        <f t="shared" si="4"/>
        <v>0.0030233747069685524</v>
      </c>
    </row>
    <row r="130" spans="1:11" ht="13.5" customHeight="1">
      <c r="A130" s="189">
        <f t="shared" si="3"/>
        <v>64</v>
      </c>
      <c r="B130" s="4"/>
      <c r="C130" s="84" t="s">
        <v>635</v>
      </c>
      <c r="D130" s="26"/>
      <c r="E130" s="48"/>
      <c r="F130" s="173">
        <v>0</v>
      </c>
      <c r="G130" s="173"/>
      <c r="H130" s="29">
        <v>0</v>
      </c>
      <c r="I130" s="173">
        <v>90000</v>
      </c>
      <c r="J130" s="215"/>
      <c r="K130" s="133">
        <f t="shared" si="4"/>
        <v>0.002721037236271697</v>
      </c>
    </row>
    <row r="131" spans="1:11" ht="13.5" customHeight="1">
      <c r="A131" s="189">
        <f t="shared" si="3"/>
        <v>65</v>
      </c>
      <c r="B131" s="4"/>
      <c r="C131" s="84" t="s">
        <v>636</v>
      </c>
      <c r="D131" s="26"/>
      <c r="E131" s="48"/>
      <c r="F131" s="173">
        <v>0</v>
      </c>
      <c r="G131" s="173"/>
      <c r="H131" s="29">
        <v>0</v>
      </c>
      <c r="I131" s="173">
        <v>30000</v>
      </c>
      <c r="J131" s="215"/>
      <c r="K131" s="133">
        <f t="shared" si="4"/>
        <v>0.0009070124120905657</v>
      </c>
    </row>
    <row r="132" spans="1:11" ht="13.5" customHeight="1">
      <c r="A132" s="189">
        <f t="shared" si="3"/>
        <v>66</v>
      </c>
      <c r="B132" s="4">
        <v>6060</v>
      </c>
      <c r="C132" s="84" t="s">
        <v>620</v>
      </c>
      <c r="D132" s="26"/>
      <c r="E132" s="48"/>
      <c r="F132" s="173"/>
      <c r="G132" s="173"/>
      <c r="H132" s="29"/>
      <c r="I132" s="173"/>
      <c r="J132" s="215"/>
      <c r="K132" s="133"/>
    </row>
    <row r="133" spans="1:11" ht="13.5" customHeight="1">
      <c r="A133" s="189">
        <f t="shared" si="3"/>
        <v>67</v>
      </c>
      <c r="B133" s="4"/>
      <c r="C133" s="84" t="s">
        <v>621</v>
      </c>
      <c r="D133" s="26"/>
      <c r="E133" s="48"/>
      <c r="F133" s="173"/>
      <c r="G133" s="173"/>
      <c r="H133" s="29"/>
      <c r="I133" s="173"/>
      <c r="J133" s="215"/>
      <c r="K133" s="133"/>
    </row>
    <row r="134" spans="1:11" ht="13.5" customHeight="1">
      <c r="A134" s="189">
        <f t="shared" si="3"/>
        <v>68</v>
      </c>
      <c r="B134" s="4"/>
      <c r="C134" s="84" t="s">
        <v>622</v>
      </c>
      <c r="D134" s="26"/>
      <c r="E134" s="48"/>
      <c r="F134" s="173">
        <v>0</v>
      </c>
      <c r="G134" s="173"/>
      <c r="H134" s="29">
        <v>0</v>
      </c>
      <c r="I134" s="173">
        <v>20000</v>
      </c>
      <c r="J134" s="215"/>
      <c r="K134" s="133">
        <f>I134/I$54</f>
        <v>0.0006046749413937104</v>
      </c>
    </row>
    <row r="135" spans="1:11" ht="12.75">
      <c r="A135" s="189">
        <f t="shared" si="3"/>
        <v>69</v>
      </c>
      <c r="B135" s="64">
        <v>60095</v>
      </c>
      <c r="C135" s="70" t="s">
        <v>28</v>
      </c>
      <c r="D135" s="26"/>
      <c r="E135" s="48"/>
      <c r="F135" s="174">
        <f>F136+F144</f>
        <v>106854</v>
      </c>
      <c r="G135" s="222"/>
      <c r="H135" s="65">
        <f>H136+H144</f>
        <v>106853.13</v>
      </c>
      <c r="I135" s="222">
        <f>I136+I144</f>
        <v>170000</v>
      </c>
      <c r="J135" s="245">
        <f>I135/H135</f>
        <v>1.5909688373190378</v>
      </c>
      <c r="K135" s="136">
        <f>I135/I$54</f>
        <v>0.005139737001846539</v>
      </c>
    </row>
    <row r="136" spans="1:11" ht="12.75">
      <c r="A136" s="189">
        <f t="shared" si="3"/>
        <v>70</v>
      </c>
      <c r="B136" s="15">
        <v>4300</v>
      </c>
      <c r="C136" s="127" t="s">
        <v>314</v>
      </c>
      <c r="D136" s="26"/>
      <c r="E136" s="48"/>
      <c r="F136" s="161">
        <f>SUM(F139:F142)</f>
        <v>100000</v>
      </c>
      <c r="G136" s="173"/>
      <c r="H136" s="29">
        <f>SUM(H139:H142)</f>
        <v>100000</v>
      </c>
      <c r="I136" s="161">
        <f>SUM(I139:I142)</f>
        <v>170000</v>
      </c>
      <c r="J136" s="106">
        <f>I136/H136</f>
        <v>1.7</v>
      </c>
      <c r="K136" s="133">
        <f>I136/I$54</f>
        <v>0.005139737001846539</v>
      </c>
    </row>
    <row r="137" spans="1:11" ht="12.75">
      <c r="A137" s="189">
        <f t="shared" si="3"/>
        <v>71</v>
      </c>
      <c r="B137" s="15"/>
      <c r="C137" s="127" t="s">
        <v>16</v>
      </c>
      <c r="D137" s="26"/>
      <c r="E137" s="48"/>
      <c r="F137" s="161"/>
      <c r="G137" s="161"/>
      <c r="H137" s="161"/>
      <c r="I137" s="161"/>
      <c r="J137" s="106"/>
      <c r="K137" s="133"/>
    </row>
    <row r="138" spans="1:11" ht="12.75">
      <c r="A138" s="189">
        <f t="shared" si="3"/>
        <v>72</v>
      </c>
      <c r="B138" s="15"/>
      <c r="C138" s="127" t="s">
        <v>569</v>
      </c>
      <c r="D138" s="26"/>
      <c r="E138" s="48"/>
      <c r="F138" s="161"/>
      <c r="G138" s="161"/>
      <c r="H138" s="161"/>
      <c r="I138" s="161"/>
      <c r="J138" s="106"/>
      <c r="K138" s="133"/>
    </row>
    <row r="139" spans="1:11" ht="12.75">
      <c r="A139" s="189">
        <f t="shared" si="3"/>
        <v>73</v>
      </c>
      <c r="B139" s="15"/>
      <c r="C139" s="127" t="s">
        <v>570</v>
      </c>
      <c r="D139" s="26"/>
      <c r="E139" s="48"/>
      <c r="F139" s="161">
        <v>0</v>
      </c>
      <c r="G139" s="161"/>
      <c r="H139" s="161">
        <v>0</v>
      </c>
      <c r="I139" s="161">
        <v>50000</v>
      </c>
      <c r="J139" s="106"/>
      <c r="K139" s="133">
        <f>I139/I$54</f>
        <v>0.0015116873534842762</v>
      </c>
    </row>
    <row r="140" spans="1:11" ht="12.75">
      <c r="A140" s="189">
        <f t="shared" si="3"/>
        <v>74</v>
      </c>
      <c r="B140" s="15"/>
      <c r="C140" s="127" t="s">
        <v>571</v>
      </c>
      <c r="D140" s="26"/>
      <c r="E140" s="48"/>
      <c r="F140" s="161"/>
      <c r="G140" s="161"/>
      <c r="H140" s="161"/>
      <c r="I140" s="161"/>
      <c r="J140" s="106"/>
      <c r="K140" s="133"/>
    </row>
    <row r="141" spans="1:11" ht="12.75">
      <c r="A141" s="189">
        <f t="shared" si="3"/>
        <v>75</v>
      </c>
      <c r="B141" s="15"/>
      <c r="C141" s="127" t="s">
        <v>572</v>
      </c>
      <c r="D141" s="26"/>
      <c r="E141" s="48"/>
      <c r="F141" s="161"/>
      <c r="G141" s="161"/>
      <c r="H141" s="161"/>
      <c r="I141" s="161"/>
      <c r="J141" s="106"/>
      <c r="K141" s="133"/>
    </row>
    <row r="142" spans="1:11" ht="12.75">
      <c r="A142" s="189">
        <f t="shared" si="0"/>
        <v>76</v>
      </c>
      <c r="B142" s="15"/>
      <c r="C142" s="127" t="s">
        <v>315</v>
      </c>
      <c r="D142" s="26"/>
      <c r="E142" s="48"/>
      <c r="F142" s="161">
        <v>100000</v>
      </c>
      <c r="G142" s="161"/>
      <c r="H142" s="161">
        <v>100000</v>
      </c>
      <c r="I142" s="161">
        <v>120000</v>
      </c>
      <c r="J142" s="106">
        <f>I142/H142</f>
        <v>1.2</v>
      </c>
      <c r="K142" s="133">
        <f>I142/I$54</f>
        <v>0.0036280496483622627</v>
      </c>
    </row>
    <row r="143" spans="1:11" ht="12.75">
      <c r="A143" s="189">
        <f t="shared" si="0"/>
        <v>77</v>
      </c>
      <c r="B143" s="15">
        <v>4590</v>
      </c>
      <c r="C143" s="127" t="s">
        <v>163</v>
      </c>
      <c r="D143" s="26"/>
      <c r="E143" s="48"/>
      <c r="F143" s="161"/>
      <c r="G143" s="161"/>
      <c r="H143" s="161"/>
      <c r="I143" s="161"/>
      <c r="J143" s="106"/>
      <c r="K143" s="133"/>
    </row>
    <row r="144" spans="1:11" ht="12.75">
      <c r="A144" s="189">
        <f t="shared" si="0"/>
        <v>78</v>
      </c>
      <c r="B144" s="15"/>
      <c r="C144" s="127" t="s">
        <v>164</v>
      </c>
      <c r="D144" s="26"/>
      <c r="E144" s="48"/>
      <c r="F144" s="161">
        <v>6854</v>
      </c>
      <c r="G144" s="161"/>
      <c r="H144" s="161">
        <v>6853.13</v>
      </c>
      <c r="I144" s="161">
        <v>0</v>
      </c>
      <c r="J144" s="106"/>
      <c r="K144" s="133">
        <f>I144/I$54</f>
        <v>0</v>
      </c>
    </row>
    <row r="145" spans="1:11" s="72" customFormat="1" ht="12.75">
      <c r="A145" s="189">
        <f t="shared" si="0"/>
        <v>79</v>
      </c>
      <c r="B145" s="58">
        <v>630</v>
      </c>
      <c r="C145" s="83" t="s">
        <v>153</v>
      </c>
      <c r="D145" s="60"/>
      <c r="E145" s="61" t="e">
        <f>E146</f>
        <v>#REF!</v>
      </c>
      <c r="F145" s="60">
        <f>F146</f>
        <v>258500</v>
      </c>
      <c r="G145" s="60" t="e">
        <f>G146</f>
        <v>#REF!</v>
      </c>
      <c r="H145" s="60">
        <f>H146</f>
        <v>256190</v>
      </c>
      <c r="I145" s="60">
        <f>I146</f>
        <v>260700</v>
      </c>
      <c r="J145" s="213">
        <f>I145/H145</f>
        <v>1.017604121940747</v>
      </c>
      <c r="K145" s="136">
        <f>I145/I$54</f>
        <v>0.007881937861067015</v>
      </c>
    </row>
    <row r="146" spans="1:11" s="75" customFormat="1" ht="12.75">
      <c r="A146" s="189">
        <f t="shared" si="0"/>
        <v>80</v>
      </c>
      <c r="B146" s="64">
        <v>63095</v>
      </c>
      <c r="C146" s="70" t="s">
        <v>28</v>
      </c>
      <c r="D146" s="65"/>
      <c r="E146" s="66" t="e">
        <f>#REF!+E148+#REF!</f>
        <v>#REF!</v>
      </c>
      <c r="F146" s="65">
        <f>F147+F148+F152</f>
        <v>258500</v>
      </c>
      <c r="G146" s="65" t="e">
        <f>#REF!+G148+#REF!</f>
        <v>#REF!</v>
      </c>
      <c r="H146" s="65">
        <f>H147+H148+H152</f>
        <v>256190</v>
      </c>
      <c r="I146" s="65">
        <f>I147+I148+I152</f>
        <v>260700</v>
      </c>
      <c r="J146" s="217">
        <f>I146/H146</f>
        <v>1.017604121940747</v>
      </c>
      <c r="K146" s="139">
        <f>I146/I$54</f>
        <v>0.007881937861067015</v>
      </c>
    </row>
    <row r="147" spans="1:11" s="75" customFormat="1" ht="12.75">
      <c r="A147" s="189">
        <f t="shared" si="0"/>
        <v>81</v>
      </c>
      <c r="B147" s="160">
        <v>4210</v>
      </c>
      <c r="C147" s="42" t="s">
        <v>428</v>
      </c>
      <c r="D147" s="65"/>
      <c r="E147" s="66"/>
      <c r="F147" s="29">
        <v>34000</v>
      </c>
      <c r="G147" s="29"/>
      <c r="H147" s="29">
        <v>34000</v>
      </c>
      <c r="I147" s="29">
        <v>34000</v>
      </c>
      <c r="J147" s="106">
        <f aca="true" t="shared" si="5" ref="J147:J152">I147/H147</f>
        <v>1</v>
      </c>
      <c r="K147" s="133">
        <f>I147/I$54</f>
        <v>0.0010279474003693078</v>
      </c>
    </row>
    <row r="148" spans="1:11" ht="12.75">
      <c r="A148" s="189">
        <f t="shared" si="0"/>
        <v>82</v>
      </c>
      <c r="B148" s="15">
        <v>4300</v>
      </c>
      <c r="C148" s="127" t="s">
        <v>160</v>
      </c>
      <c r="D148" s="26"/>
      <c r="E148" s="53">
        <f>E150</f>
        <v>70000</v>
      </c>
      <c r="F148" s="175">
        <f>SUM(F150:F151)</f>
        <v>219500</v>
      </c>
      <c r="G148" s="175">
        <f>SUM(G150:G150)</f>
        <v>0</v>
      </c>
      <c r="H148" s="175">
        <f>SUM(H150:H151)</f>
        <v>219500</v>
      </c>
      <c r="I148" s="175">
        <f>SUM(I150:I151)</f>
        <v>224000</v>
      </c>
      <c r="J148" s="106">
        <f t="shared" si="5"/>
        <v>1.020501138952164</v>
      </c>
      <c r="K148" s="133">
        <f>I148/I$54</f>
        <v>0.006772359343609557</v>
      </c>
    </row>
    <row r="149" spans="1:11" ht="12.75">
      <c r="A149" s="189">
        <f aca="true" t="shared" si="6" ref="A149:A212">A148+1</f>
        <v>83</v>
      </c>
      <c r="B149" s="15"/>
      <c r="C149" s="127" t="s">
        <v>16</v>
      </c>
      <c r="D149" s="26"/>
      <c r="E149" s="48"/>
      <c r="F149" s="161"/>
      <c r="G149" s="161"/>
      <c r="H149" s="161"/>
      <c r="I149" s="161"/>
      <c r="J149" s="106"/>
      <c r="K149" s="133"/>
    </row>
    <row r="150" spans="1:11" ht="13.5" customHeight="1">
      <c r="A150" s="189">
        <f t="shared" si="6"/>
        <v>84</v>
      </c>
      <c r="B150" s="15"/>
      <c r="C150" s="127" t="s">
        <v>70</v>
      </c>
      <c r="D150" s="26"/>
      <c r="E150" s="48">
        <v>70000</v>
      </c>
      <c r="F150" s="161">
        <v>213645</v>
      </c>
      <c r="G150" s="161">
        <f>H150-F150</f>
        <v>0</v>
      </c>
      <c r="H150" s="161">
        <v>213645</v>
      </c>
      <c r="I150" s="161">
        <v>218000</v>
      </c>
      <c r="J150" s="106">
        <f t="shared" si="5"/>
        <v>1.0203842823375224</v>
      </c>
      <c r="K150" s="133">
        <f aca="true" t="shared" si="7" ref="K150:K156">I150/I$54</f>
        <v>0.006590956861191444</v>
      </c>
    </row>
    <row r="151" spans="1:11" ht="13.5" customHeight="1">
      <c r="A151" s="189">
        <f t="shared" si="6"/>
        <v>85</v>
      </c>
      <c r="B151" s="15"/>
      <c r="C151" s="127" t="s">
        <v>429</v>
      </c>
      <c r="D151" s="26"/>
      <c r="E151" s="48"/>
      <c r="F151" s="161">
        <v>5855</v>
      </c>
      <c r="G151" s="161"/>
      <c r="H151" s="161">
        <v>5855</v>
      </c>
      <c r="I151" s="161">
        <v>6000</v>
      </c>
      <c r="J151" s="106">
        <f t="shared" si="5"/>
        <v>1.0247651579846284</v>
      </c>
      <c r="K151" s="133">
        <f t="shared" si="7"/>
        <v>0.00018140248241811313</v>
      </c>
    </row>
    <row r="152" spans="1:11" ht="13.5" customHeight="1">
      <c r="A152" s="189">
        <f t="shared" si="6"/>
        <v>86</v>
      </c>
      <c r="B152" s="15">
        <v>4430</v>
      </c>
      <c r="C152" s="127" t="s">
        <v>430</v>
      </c>
      <c r="D152" s="26"/>
      <c r="E152" s="48"/>
      <c r="F152" s="161">
        <v>5000</v>
      </c>
      <c r="G152" s="161"/>
      <c r="H152" s="161">
        <v>2690</v>
      </c>
      <c r="I152" s="161">
        <v>2700</v>
      </c>
      <c r="J152" s="106">
        <f t="shared" si="5"/>
        <v>1.003717472118959</v>
      </c>
      <c r="K152" s="133">
        <f t="shared" si="7"/>
        <v>8.163111708815091E-05</v>
      </c>
    </row>
    <row r="153" spans="1:11" s="1" customFormat="1" ht="12.75">
      <c r="A153" s="189">
        <f t="shared" si="6"/>
        <v>87</v>
      </c>
      <c r="B153" s="58">
        <v>700</v>
      </c>
      <c r="C153" s="83" t="s">
        <v>124</v>
      </c>
      <c r="D153" s="26"/>
      <c r="E153" s="44" t="e">
        <f>#REF!+E154+#REF!+E176</f>
        <v>#REF!</v>
      </c>
      <c r="F153" s="26">
        <f>F154+F176</f>
        <v>2038319</v>
      </c>
      <c r="G153" s="26" t="e">
        <f>#REF!+G154+#REF!+G176</f>
        <v>#REF!</v>
      </c>
      <c r="H153" s="26">
        <f>H154+H176</f>
        <v>2004515.8199999998</v>
      </c>
      <c r="I153" s="26">
        <f>I154+I176</f>
        <v>6214896</v>
      </c>
      <c r="J153" s="213">
        <f>I153/H153</f>
        <v>3.1004474686560473</v>
      </c>
      <c r="K153" s="136">
        <f t="shared" si="7"/>
        <v>0.1878995937284003</v>
      </c>
    </row>
    <row r="154" spans="1:11" s="69" customFormat="1" ht="12.75">
      <c r="A154" s="189">
        <f t="shared" si="6"/>
        <v>88</v>
      </c>
      <c r="B154" s="64">
        <v>70005</v>
      </c>
      <c r="C154" s="70" t="s">
        <v>125</v>
      </c>
      <c r="D154" s="68"/>
      <c r="E154" s="66">
        <f>E156+E164+E167</f>
        <v>82000</v>
      </c>
      <c r="F154" s="65">
        <f>F155+F156+F164+F165+F167+F175</f>
        <v>93258</v>
      </c>
      <c r="G154" s="65" t="e">
        <f>G156+G164+#REF!+G167+G175+#REF!</f>
        <v>#REF!</v>
      </c>
      <c r="H154" s="65">
        <f>H155+H156+H164+H165+H167+H175</f>
        <v>93051.04000000001</v>
      </c>
      <c r="I154" s="65">
        <f>I155+I156+I164+I165+I167+I175</f>
        <v>518500</v>
      </c>
      <c r="J154" s="217">
        <f>I154/H154</f>
        <v>5.57221069211048</v>
      </c>
      <c r="K154" s="139">
        <f t="shared" si="7"/>
        <v>0.015676197855631943</v>
      </c>
    </row>
    <row r="155" spans="1:11" s="187" customFormat="1" ht="12.75">
      <c r="A155" s="189">
        <f t="shared" si="6"/>
        <v>89</v>
      </c>
      <c r="B155" s="160">
        <v>2650</v>
      </c>
      <c r="C155" s="189" t="s">
        <v>431</v>
      </c>
      <c r="D155" s="188"/>
      <c r="E155" s="159"/>
      <c r="F155" s="171">
        <v>7716</v>
      </c>
      <c r="G155" s="171"/>
      <c r="H155" s="171">
        <v>7716</v>
      </c>
      <c r="I155" s="171">
        <v>8000</v>
      </c>
      <c r="J155" s="106">
        <f>I155/H155</f>
        <v>1.0368066355624677</v>
      </c>
      <c r="K155" s="133">
        <f t="shared" si="7"/>
        <v>0.00024186997655748418</v>
      </c>
    </row>
    <row r="156" spans="1:11" ht="12.75">
      <c r="A156" s="189">
        <f t="shared" si="6"/>
        <v>90</v>
      </c>
      <c r="B156" s="4">
        <v>4300</v>
      </c>
      <c r="C156" s="127" t="s">
        <v>160</v>
      </c>
      <c r="D156" s="26"/>
      <c r="E156" s="47">
        <f>SUM(E158:E162)</f>
        <v>52000</v>
      </c>
      <c r="F156" s="29">
        <f>SUM(F158:F163)</f>
        <v>24997</v>
      </c>
      <c r="G156" s="29">
        <f>SUM(G158:G162)</f>
        <v>0</v>
      </c>
      <c r="H156" s="29">
        <f>SUM(H158:H163)</f>
        <v>24997</v>
      </c>
      <c r="I156" s="29">
        <f>SUM(I158:I163)</f>
        <v>55500</v>
      </c>
      <c r="J156" s="106">
        <f>I156/H156</f>
        <v>2.2202664319718366</v>
      </c>
      <c r="K156" s="133">
        <f t="shared" si="7"/>
        <v>0.0016779729623675466</v>
      </c>
    </row>
    <row r="157" spans="1:11" ht="12.75">
      <c r="A157" s="189">
        <f t="shared" si="6"/>
        <v>91</v>
      </c>
      <c r="B157" s="4"/>
      <c r="C157" s="84" t="s">
        <v>16</v>
      </c>
      <c r="D157" s="26"/>
      <c r="E157" s="48"/>
      <c r="F157" s="29"/>
      <c r="G157" s="161"/>
      <c r="H157" s="161"/>
      <c r="I157" s="161"/>
      <c r="J157" s="106"/>
      <c r="K157" s="133"/>
    </row>
    <row r="158" spans="1:11" ht="12.75">
      <c r="A158" s="189">
        <f t="shared" si="6"/>
        <v>92</v>
      </c>
      <c r="B158" s="4"/>
      <c r="C158" s="84" t="s">
        <v>42</v>
      </c>
      <c r="D158" s="26"/>
      <c r="E158" s="48">
        <v>10000</v>
      </c>
      <c r="F158" s="29">
        <v>4997</v>
      </c>
      <c r="G158" s="161">
        <f aca="true" t="shared" si="8" ref="G158:G167">H158-F158</f>
        <v>0</v>
      </c>
      <c r="H158" s="161">
        <v>4997</v>
      </c>
      <c r="I158" s="161">
        <v>5000</v>
      </c>
      <c r="J158" s="106">
        <f aca="true" t="shared" si="9" ref="J158:J165">I158/H158</f>
        <v>1.0006003602161297</v>
      </c>
      <c r="K158" s="133">
        <f aca="true" t="shared" si="10" ref="K158:K165">I158/I$54</f>
        <v>0.0001511687353484276</v>
      </c>
    </row>
    <row r="159" spans="1:11" ht="12.75">
      <c r="A159" s="189">
        <f t="shared" si="6"/>
        <v>93</v>
      </c>
      <c r="B159" s="4"/>
      <c r="C159" s="84" t="s">
        <v>43</v>
      </c>
      <c r="D159" s="26"/>
      <c r="E159" s="48">
        <v>20000</v>
      </c>
      <c r="F159" s="29">
        <v>10000</v>
      </c>
      <c r="G159" s="161">
        <f t="shared" si="8"/>
        <v>0</v>
      </c>
      <c r="H159" s="161">
        <v>10000</v>
      </c>
      <c r="I159" s="161">
        <v>25000</v>
      </c>
      <c r="J159" s="106">
        <f t="shared" si="9"/>
        <v>2.5</v>
      </c>
      <c r="K159" s="133">
        <f t="shared" si="10"/>
        <v>0.0007558436767421381</v>
      </c>
    </row>
    <row r="160" spans="1:11" ht="12.75">
      <c r="A160" s="189">
        <f t="shared" si="6"/>
        <v>94</v>
      </c>
      <c r="B160" s="4"/>
      <c r="C160" s="84" t="s">
        <v>243</v>
      </c>
      <c r="D160" s="26"/>
      <c r="E160" s="48">
        <v>15000</v>
      </c>
      <c r="F160" s="29">
        <v>7700</v>
      </c>
      <c r="G160" s="161">
        <f t="shared" si="8"/>
        <v>0</v>
      </c>
      <c r="H160" s="161">
        <v>7700</v>
      </c>
      <c r="I160" s="161">
        <v>15000</v>
      </c>
      <c r="J160" s="106">
        <f t="shared" si="9"/>
        <v>1.948051948051948</v>
      </c>
      <c r="K160" s="133">
        <f t="shared" si="10"/>
        <v>0.00045350620604528284</v>
      </c>
    </row>
    <row r="161" spans="1:11" ht="12.75">
      <c r="A161" s="189">
        <f t="shared" si="6"/>
        <v>95</v>
      </c>
      <c r="B161" s="4"/>
      <c r="C161" s="84" t="s">
        <v>244</v>
      </c>
      <c r="D161" s="26"/>
      <c r="E161" s="48">
        <v>2000</v>
      </c>
      <c r="F161" s="29">
        <v>500</v>
      </c>
      <c r="G161" s="161">
        <f t="shared" si="8"/>
        <v>0</v>
      </c>
      <c r="H161" s="161">
        <v>500</v>
      </c>
      <c r="I161" s="161">
        <v>500</v>
      </c>
      <c r="J161" s="106">
        <f t="shared" si="9"/>
        <v>1</v>
      </c>
      <c r="K161" s="133">
        <f t="shared" si="10"/>
        <v>1.5116873534842761E-05</v>
      </c>
    </row>
    <row r="162" spans="1:11" ht="12.75">
      <c r="A162" s="189">
        <f t="shared" si="6"/>
        <v>96</v>
      </c>
      <c r="B162" s="4"/>
      <c r="C162" s="84" t="s">
        <v>20</v>
      </c>
      <c r="D162" s="26"/>
      <c r="E162" s="48">
        <v>5000</v>
      </c>
      <c r="F162" s="29">
        <v>1800</v>
      </c>
      <c r="G162" s="161">
        <f t="shared" si="8"/>
        <v>0</v>
      </c>
      <c r="H162" s="161">
        <v>1800</v>
      </c>
      <c r="I162" s="161">
        <v>0</v>
      </c>
      <c r="J162" s="106">
        <f t="shared" si="9"/>
        <v>0</v>
      </c>
      <c r="K162" s="133">
        <f t="shared" si="10"/>
        <v>0</v>
      </c>
    </row>
    <row r="163" spans="1:11" ht="12.75">
      <c r="A163" s="189">
        <f t="shared" si="6"/>
        <v>97</v>
      </c>
      <c r="B163" s="4"/>
      <c r="C163" s="84" t="s">
        <v>278</v>
      </c>
      <c r="D163" s="26"/>
      <c r="E163" s="48"/>
      <c r="F163" s="29">
        <v>0</v>
      </c>
      <c r="G163" s="161"/>
      <c r="H163" s="161">
        <v>0</v>
      </c>
      <c r="I163" s="161">
        <v>10000</v>
      </c>
      <c r="J163" s="106"/>
      <c r="K163" s="133">
        <f t="shared" si="10"/>
        <v>0.0003023374706968552</v>
      </c>
    </row>
    <row r="164" spans="1:11" ht="12.75">
      <c r="A164" s="189">
        <f t="shared" si="6"/>
        <v>98</v>
      </c>
      <c r="B164" s="4">
        <v>4430</v>
      </c>
      <c r="C164" s="84" t="s">
        <v>44</v>
      </c>
      <c r="D164" s="26"/>
      <c r="E164" s="48">
        <v>15000</v>
      </c>
      <c r="F164" s="161">
        <v>15000</v>
      </c>
      <c r="G164" s="161">
        <f t="shared" si="8"/>
        <v>0</v>
      </c>
      <c r="H164" s="161">
        <v>15000</v>
      </c>
      <c r="I164" s="161">
        <v>15000</v>
      </c>
      <c r="J164" s="106">
        <f t="shared" si="9"/>
        <v>1</v>
      </c>
      <c r="K164" s="133">
        <f t="shared" si="10"/>
        <v>0.00045350620604528284</v>
      </c>
    </row>
    <row r="165" spans="1:11" ht="12.75">
      <c r="A165" s="189">
        <f t="shared" si="6"/>
        <v>99</v>
      </c>
      <c r="B165" s="4">
        <v>4580</v>
      </c>
      <c r="C165" s="84" t="s">
        <v>222</v>
      </c>
      <c r="D165" s="26"/>
      <c r="E165" s="48"/>
      <c r="F165" s="161">
        <v>295</v>
      </c>
      <c r="G165" s="161">
        <f t="shared" si="8"/>
        <v>-24.45999999999998</v>
      </c>
      <c r="H165" s="161">
        <v>270.54</v>
      </c>
      <c r="I165" s="161">
        <v>0</v>
      </c>
      <c r="J165" s="106">
        <f t="shared" si="9"/>
        <v>0</v>
      </c>
      <c r="K165" s="133">
        <f t="shared" si="10"/>
        <v>0</v>
      </c>
    </row>
    <row r="166" spans="1:11" ht="12.75">
      <c r="A166" s="189">
        <f t="shared" si="6"/>
        <v>100</v>
      </c>
      <c r="B166" s="4">
        <v>4590</v>
      </c>
      <c r="C166" s="84" t="s">
        <v>163</v>
      </c>
      <c r="D166" s="26"/>
      <c r="E166" s="48"/>
      <c r="F166" s="161"/>
      <c r="G166" s="161"/>
      <c r="H166" s="161"/>
      <c r="I166" s="161"/>
      <c r="J166" s="106"/>
      <c r="K166" s="133"/>
    </row>
    <row r="167" spans="1:11" ht="12.75">
      <c r="A167" s="189">
        <f t="shared" si="6"/>
        <v>101</v>
      </c>
      <c r="B167" s="4"/>
      <c r="C167" s="84" t="s">
        <v>497</v>
      </c>
      <c r="D167" s="26"/>
      <c r="E167" s="48">
        <v>15000</v>
      </c>
      <c r="F167" s="161">
        <f>SUM(F169:F173)</f>
        <v>15250</v>
      </c>
      <c r="G167" s="161">
        <f t="shared" si="8"/>
        <v>-182.5</v>
      </c>
      <c r="H167" s="161">
        <f>SUM(H169:H173)</f>
        <v>15067.5</v>
      </c>
      <c r="I167" s="161">
        <f>SUM(I169:I173)</f>
        <v>440000</v>
      </c>
      <c r="J167" s="106">
        <f>I167/H167</f>
        <v>29.201924672307946</v>
      </c>
      <c r="K167" s="133">
        <f>I167/I$54</f>
        <v>0.01330284871066163</v>
      </c>
    </row>
    <row r="168" spans="1:11" ht="12.75">
      <c r="A168" s="189">
        <f t="shared" si="6"/>
        <v>102</v>
      </c>
      <c r="B168" s="4"/>
      <c r="C168" s="84" t="s">
        <v>16</v>
      </c>
      <c r="D168" s="26"/>
      <c r="E168" s="48"/>
      <c r="F168" s="161"/>
      <c r="G168" s="161"/>
      <c r="H168" s="161"/>
      <c r="I168" s="161"/>
      <c r="J168" s="106"/>
      <c r="K168" s="133"/>
    </row>
    <row r="169" spans="1:11" ht="12.75">
      <c r="A169" s="189">
        <f t="shared" si="6"/>
        <v>103</v>
      </c>
      <c r="B169" s="4"/>
      <c r="C169" s="84" t="s">
        <v>498</v>
      </c>
      <c r="D169" s="26"/>
      <c r="E169" s="48"/>
      <c r="F169" s="161">
        <v>5000</v>
      </c>
      <c r="G169" s="161"/>
      <c r="H169" s="161">
        <v>4817.5</v>
      </c>
      <c r="I169" s="161">
        <v>5000</v>
      </c>
      <c r="J169" s="106">
        <f>I169/H169</f>
        <v>1.0378827192527245</v>
      </c>
      <c r="K169" s="133">
        <f>I169/I$54</f>
        <v>0.0001511687353484276</v>
      </c>
    </row>
    <row r="170" spans="1:11" ht="12.75">
      <c r="A170" s="189">
        <f t="shared" si="6"/>
        <v>104</v>
      </c>
      <c r="B170" s="4"/>
      <c r="C170" s="112" t="s">
        <v>499</v>
      </c>
      <c r="D170" s="26"/>
      <c r="E170" s="48"/>
      <c r="F170" s="161">
        <v>0</v>
      </c>
      <c r="G170" s="161"/>
      <c r="H170" s="161">
        <v>0</v>
      </c>
      <c r="I170" s="161">
        <v>85000</v>
      </c>
      <c r="J170" s="106"/>
      <c r="K170" s="133">
        <f>I170/I$54</f>
        <v>0.0025698685009232693</v>
      </c>
    </row>
    <row r="171" spans="1:11" ht="12.75">
      <c r="A171" s="189">
        <f t="shared" si="6"/>
        <v>105</v>
      </c>
      <c r="B171" s="4"/>
      <c r="C171" s="84" t="s">
        <v>501</v>
      </c>
      <c r="D171" s="26"/>
      <c r="E171" s="48"/>
      <c r="F171" s="161"/>
      <c r="G171" s="161"/>
      <c r="H171" s="161"/>
      <c r="I171" s="161"/>
      <c r="J171" s="106"/>
      <c r="K171" s="133"/>
    </row>
    <row r="172" spans="1:11" ht="12.75">
      <c r="A172" s="189">
        <f t="shared" si="6"/>
        <v>106</v>
      </c>
      <c r="B172" s="4"/>
      <c r="C172" s="84" t="s">
        <v>500</v>
      </c>
      <c r="D172" s="26"/>
      <c r="E172" s="48"/>
      <c r="F172" s="161">
        <v>0</v>
      </c>
      <c r="G172" s="161"/>
      <c r="H172" s="161">
        <v>0</v>
      </c>
      <c r="I172" s="161">
        <v>347000</v>
      </c>
      <c r="J172" s="106"/>
      <c r="K172" s="133">
        <f>I172/I$54</f>
        <v>0.010491110233180877</v>
      </c>
    </row>
    <row r="173" spans="1:11" ht="12.75">
      <c r="A173" s="189">
        <f t="shared" si="6"/>
        <v>107</v>
      </c>
      <c r="B173" s="4"/>
      <c r="C173" s="84" t="s">
        <v>432</v>
      </c>
      <c r="D173" s="26"/>
      <c r="E173" s="48"/>
      <c r="F173" s="161">
        <v>10250</v>
      </c>
      <c r="G173" s="161"/>
      <c r="H173" s="161">
        <v>10250</v>
      </c>
      <c r="I173" s="161">
        <v>3000</v>
      </c>
      <c r="J173" s="106">
        <f>I173/H173</f>
        <v>0.2926829268292683</v>
      </c>
      <c r="K173" s="133">
        <f>I173/I$54</f>
        <v>9.070124120905656E-05</v>
      </c>
    </row>
    <row r="174" spans="1:11" ht="12.75">
      <c r="A174" s="189">
        <f t="shared" si="6"/>
        <v>108</v>
      </c>
      <c r="B174" s="4">
        <v>4610</v>
      </c>
      <c r="C174" s="84" t="s">
        <v>252</v>
      </c>
      <c r="D174" s="26"/>
      <c r="E174" s="48"/>
      <c r="F174" s="161"/>
      <c r="G174" s="161"/>
      <c r="H174" s="161"/>
      <c r="I174" s="161"/>
      <c r="J174" s="106"/>
      <c r="K174" s="133"/>
    </row>
    <row r="175" spans="1:11" ht="12.75">
      <c r="A175" s="189">
        <f t="shared" si="6"/>
        <v>109</v>
      </c>
      <c r="B175" s="4"/>
      <c r="C175" s="84" t="s">
        <v>253</v>
      </c>
      <c r="D175" s="26"/>
      <c r="E175" s="48"/>
      <c r="F175" s="161">
        <v>30000</v>
      </c>
      <c r="G175" s="161"/>
      <c r="H175" s="161">
        <v>30000</v>
      </c>
      <c r="I175" s="161">
        <v>0</v>
      </c>
      <c r="J175" s="106"/>
      <c r="K175" s="133">
        <f>I175/I$54</f>
        <v>0</v>
      </c>
    </row>
    <row r="176" spans="1:11" s="69" customFormat="1" ht="12.75">
      <c r="A176" s="189">
        <f t="shared" si="6"/>
        <v>110</v>
      </c>
      <c r="B176" s="64">
        <v>70095</v>
      </c>
      <c r="C176" s="70" t="s">
        <v>28</v>
      </c>
      <c r="D176" s="68"/>
      <c r="E176" s="66" t="e">
        <f>E193+#REF!</f>
        <v>#REF!</v>
      </c>
      <c r="F176" s="65">
        <f>F177+F178+F181+F185+F191+F192+F193+F199</f>
        <v>1945061</v>
      </c>
      <c r="G176" s="65" t="e">
        <f>G193+#REF!</f>
        <v>#REF!</v>
      </c>
      <c r="H176" s="65">
        <f>H177+H178+H181+H185+H191+H192+H193+H199</f>
        <v>1911464.7799999998</v>
      </c>
      <c r="I176" s="65">
        <f>I177+I178+I181+I185+I191+I192+I193+I199</f>
        <v>5696396</v>
      </c>
      <c r="J176" s="217">
        <f>I176/H176</f>
        <v>2.980120826500398</v>
      </c>
      <c r="K176" s="139">
        <f>I176/I$54</f>
        <v>0.17222339587276833</v>
      </c>
    </row>
    <row r="177" spans="1:11" s="110" customFormat="1" ht="12.75">
      <c r="A177" s="189">
        <f t="shared" si="6"/>
        <v>111</v>
      </c>
      <c r="B177" s="111">
        <v>4110</v>
      </c>
      <c r="C177" s="84" t="s">
        <v>35</v>
      </c>
      <c r="D177" s="109"/>
      <c r="E177" s="87"/>
      <c r="F177" s="89">
        <v>2100</v>
      </c>
      <c r="G177" s="89"/>
      <c r="H177" s="89">
        <v>2100</v>
      </c>
      <c r="I177" s="89">
        <v>0</v>
      </c>
      <c r="J177" s="106">
        <f>I177/H177</f>
        <v>0</v>
      </c>
      <c r="K177" s="133">
        <f>I177/I$54</f>
        <v>0</v>
      </c>
    </row>
    <row r="178" spans="1:11" s="110" customFormat="1" ht="12.75">
      <c r="A178" s="189">
        <f t="shared" si="6"/>
        <v>112</v>
      </c>
      <c r="B178" s="111">
        <v>4170</v>
      </c>
      <c r="C178" s="84" t="s">
        <v>289</v>
      </c>
      <c r="D178" s="109"/>
      <c r="E178" s="87"/>
      <c r="F178" s="89">
        <v>12000</v>
      </c>
      <c r="G178" s="89"/>
      <c r="H178" s="89">
        <v>12000</v>
      </c>
      <c r="I178" s="89">
        <v>0</v>
      </c>
      <c r="J178" s="106">
        <f>I178/H178</f>
        <v>0</v>
      </c>
      <c r="K178" s="133">
        <f>I178/I$54</f>
        <v>0</v>
      </c>
    </row>
    <row r="179" spans="1:11" s="110" customFormat="1" ht="12.75">
      <c r="A179" s="189"/>
      <c r="B179" s="111"/>
      <c r="C179" s="84"/>
      <c r="D179" s="109"/>
      <c r="E179" s="87"/>
      <c r="F179" s="89"/>
      <c r="G179" s="89"/>
      <c r="H179" s="89"/>
      <c r="I179" s="89"/>
      <c r="J179" s="106"/>
      <c r="K179" s="133"/>
    </row>
    <row r="180" spans="1:11" s="110" customFormat="1" ht="12.75">
      <c r="A180" s="189"/>
      <c r="B180" s="111"/>
      <c r="C180" s="84"/>
      <c r="D180" s="109"/>
      <c r="E180" s="87"/>
      <c r="F180" s="89"/>
      <c r="G180" s="89"/>
      <c r="H180" s="89"/>
      <c r="I180" s="89"/>
      <c r="J180" s="106"/>
      <c r="K180" s="133"/>
    </row>
    <row r="181" spans="1:11" s="110" customFormat="1" ht="12.75">
      <c r="A181" s="189">
        <f>A178+1</f>
        <v>113</v>
      </c>
      <c r="B181" s="111">
        <v>4270</v>
      </c>
      <c r="C181" s="84" t="s">
        <v>490</v>
      </c>
      <c r="D181" s="109"/>
      <c r="E181" s="87"/>
      <c r="F181" s="89">
        <f>SUM(F183:F184)</f>
        <v>154500</v>
      </c>
      <c r="G181" s="89"/>
      <c r="H181" s="89">
        <f>SUM(H183:H184)</f>
        <v>154497.43</v>
      </c>
      <c r="I181" s="89">
        <f>SUM(I183:I184)</f>
        <v>150000</v>
      </c>
      <c r="J181" s="106">
        <f aca="true" t="shared" si="11" ref="J181:J190">I181/H181</f>
        <v>0.9708899364863222</v>
      </c>
      <c r="K181" s="133">
        <f aca="true" t="shared" si="12" ref="K181:K190">I181/I$54</f>
        <v>0.004535062060452829</v>
      </c>
    </row>
    <row r="182" spans="1:11" s="110" customFormat="1" ht="12.75">
      <c r="A182" s="189">
        <f t="shared" si="6"/>
        <v>114</v>
      </c>
      <c r="B182" s="111"/>
      <c r="C182" s="84" t="s">
        <v>16</v>
      </c>
      <c r="D182" s="109"/>
      <c r="E182" s="87"/>
      <c r="F182" s="89"/>
      <c r="G182" s="89"/>
      <c r="H182" s="89"/>
      <c r="I182" s="89"/>
      <c r="J182" s="106"/>
      <c r="K182" s="133"/>
    </row>
    <row r="183" spans="1:11" s="110" customFormat="1" ht="12.75">
      <c r="A183" s="189">
        <f t="shared" si="6"/>
        <v>115</v>
      </c>
      <c r="B183" s="111"/>
      <c r="C183" s="112" t="s">
        <v>489</v>
      </c>
      <c r="D183" s="109"/>
      <c r="E183" s="87"/>
      <c r="F183" s="197">
        <v>16200</v>
      </c>
      <c r="G183" s="197"/>
      <c r="H183" s="198">
        <v>16197.43</v>
      </c>
      <c r="I183" s="89">
        <v>0</v>
      </c>
      <c r="J183" s="106">
        <f t="shared" si="11"/>
        <v>0</v>
      </c>
      <c r="K183" s="133">
        <f t="shared" si="12"/>
        <v>0</v>
      </c>
    </row>
    <row r="184" spans="1:11" s="110" customFormat="1" ht="12.75">
      <c r="A184" s="189">
        <f t="shared" si="6"/>
        <v>116</v>
      </c>
      <c r="B184" s="111"/>
      <c r="C184" s="112" t="s">
        <v>491</v>
      </c>
      <c r="D184" s="109"/>
      <c r="E184" s="87"/>
      <c r="F184" s="197">
        <v>138300</v>
      </c>
      <c r="G184" s="197"/>
      <c r="H184" s="198">
        <v>138300</v>
      </c>
      <c r="I184" s="89">
        <v>150000</v>
      </c>
      <c r="J184" s="106">
        <f t="shared" si="11"/>
        <v>1.0845986984815619</v>
      </c>
      <c r="K184" s="133">
        <f t="shared" si="12"/>
        <v>0.004535062060452829</v>
      </c>
    </row>
    <row r="185" spans="1:11" s="110" customFormat="1" ht="12.75">
      <c r="A185" s="189">
        <f t="shared" si="6"/>
        <v>117</v>
      </c>
      <c r="B185" s="111">
        <v>4300</v>
      </c>
      <c r="C185" s="84" t="s">
        <v>318</v>
      </c>
      <c r="D185" s="109"/>
      <c r="E185" s="87"/>
      <c r="F185" s="154">
        <f>SUM(F187:F190)</f>
        <v>732922</v>
      </c>
      <c r="G185" s="154"/>
      <c r="H185" s="198">
        <f>SUM(H187:H190)</f>
        <v>699921.78</v>
      </c>
      <c r="I185" s="89">
        <f>SUM(I187:I190)</f>
        <v>766000</v>
      </c>
      <c r="J185" s="106">
        <f t="shared" si="11"/>
        <v>1.0944080065632475</v>
      </c>
      <c r="K185" s="133">
        <f t="shared" si="12"/>
        <v>0.02315905025537911</v>
      </c>
    </row>
    <row r="186" spans="1:11" s="110" customFormat="1" ht="12.75">
      <c r="A186" s="189">
        <f t="shared" si="6"/>
        <v>118</v>
      </c>
      <c r="B186" s="111"/>
      <c r="C186" s="84" t="s">
        <v>16</v>
      </c>
      <c r="D186" s="109"/>
      <c r="E186" s="87"/>
      <c r="F186" s="89"/>
      <c r="G186" s="89"/>
      <c r="H186" s="89"/>
      <c r="I186" s="89"/>
      <c r="J186" s="106"/>
      <c r="K186" s="133"/>
    </row>
    <row r="187" spans="1:11" s="110" customFormat="1" ht="12.75">
      <c r="A187" s="189">
        <f t="shared" si="6"/>
        <v>119</v>
      </c>
      <c r="B187" s="111"/>
      <c r="C187" s="84" t="s">
        <v>389</v>
      </c>
      <c r="D187" s="109"/>
      <c r="E187" s="87"/>
      <c r="F187" s="89">
        <v>32650</v>
      </c>
      <c r="G187" s="89" t="e">
        <f>SUM(#REF!)</f>
        <v>#REF!</v>
      </c>
      <c r="H187" s="89">
        <v>0</v>
      </c>
      <c r="I187" s="89">
        <v>0</v>
      </c>
      <c r="J187" s="106"/>
      <c r="K187" s="133">
        <f t="shared" si="12"/>
        <v>0</v>
      </c>
    </row>
    <row r="188" spans="1:11" s="110" customFormat="1" ht="12.75">
      <c r="A188" s="189">
        <f t="shared" si="6"/>
        <v>120</v>
      </c>
      <c r="B188" s="111"/>
      <c r="C188" s="84" t="s">
        <v>390</v>
      </c>
      <c r="D188" s="109"/>
      <c r="E188" s="87"/>
      <c r="F188" s="89">
        <f>788600-224600</f>
        <v>564000</v>
      </c>
      <c r="G188" s="89"/>
      <c r="H188" s="89">
        <v>563670</v>
      </c>
      <c r="I188" s="89">
        <v>766000</v>
      </c>
      <c r="J188" s="106">
        <f t="shared" si="11"/>
        <v>1.358951159366296</v>
      </c>
      <c r="K188" s="133">
        <f t="shared" si="12"/>
        <v>0.02315905025537911</v>
      </c>
    </row>
    <row r="189" spans="1:11" s="110" customFormat="1" ht="12.75">
      <c r="A189" s="189">
        <f t="shared" si="6"/>
        <v>121</v>
      </c>
      <c r="B189" s="111"/>
      <c r="C189" s="84" t="s">
        <v>433</v>
      </c>
      <c r="D189" s="109"/>
      <c r="E189" s="87"/>
      <c r="F189" s="89">
        <v>4350</v>
      </c>
      <c r="G189" s="89"/>
      <c r="H189" s="89">
        <v>4329.78</v>
      </c>
      <c r="I189" s="89">
        <v>0</v>
      </c>
      <c r="J189" s="106">
        <f t="shared" si="11"/>
        <v>0</v>
      </c>
      <c r="K189" s="133">
        <f t="shared" si="12"/>
        <v>0</v>
      </c>
    </row>
    <row r="190" spans="1:11" s="110" customFormat="1" ht="12.75">
      <c r="A190" s="189">
        <f t="shared" si="6"/>
        <v>122</v>
      </c>
      <c r="B190" s="111"/>
      <c r="C190" s="84" t="s">
        <v>434</v>
      </c>
      <c r="D190" s="109"/>
      <c r="E190" s="87"/>
      <c r="F190" s="89">
        <v>131922</v>
      </c>
      <c r="G190" s="89"/>
      <c r="H190" s="89">
        <v>131922</v>
      </c>
      <c r="I190" s="89">
        <v>0</v>
      </c>
      <c r="J190" s="106">
        <f t="shared" si="11"/>
        <v>0</v>
      </c>
      <c r="K190" s="133">
        <f t="shared" si="12"/>
        <v>0</v>
      </c>
    </row>
    <row r="191" spans="1:11" s="110" customFormat="1" ht="12.75">
      <c r="A191" s="189">
        <f t="shared" si="6"/>
        <v>123</v>
      </c>
      <c r="B191" s="111">
        <v>4430</v>
      </c>
      <c r="C191" s="84" t="s">
        <v>388</v>
      </c>
      <c r="D191" s="109"/>
      <c r="E191" s="87"/>
      <c r="F191" s="89">
        <v>10398</v>
      </c>
      <c r="G191" s="89"/>
      <c r="H191" s="89">
        <v>10398</v>
      </c>
      <c r="I191" s="89">
        <f>6396+4000</f>
        <v>10396</v>
      </c>
      <c r="J191" s="106">
        <f>I191/H191</f>
        <v>0.9998076553183305</v>
      </c>
      <c r="K191" s="133">
        <f>I191/I$54</f>
        <v>0.0003143100345364507</v>
      </c>
    </row>
    <row r="192" spans="1:11" s="110" customFormat="1" ht="12.75">
      <c r="A192" s="189">
        <f t="shared" si="6"/>
        <v>124</v>
      </c>
      <c r="B192" s="4">
        <v>4580</v>
      </c>
      <c r="C192" s="84" t="s">
        <v>222</v>
      </c>
      <c r="D192" s="109"/>
      <c r="E192" s="87"/>
      <c r="F192" s="89">
        <v>1000</v>
      </c>
      <c r="G192" s="89"/>
      <c r="H192" s="89">
        <v>1000</v>
      </c>
      <c r="I192" s="89">
        <v>0</v>
      </c>
      <c r="J192" s="106">
        <f>I192/H192</f>
        <v>0</v>
      </c>
      <c r="K192" s="133">
        <f>I192/I$54</f>
        <v>0</v>
      </c>
    </row>
    <row r="193" spans="1:11" ht="12.75">
      <c r="A193" s="189">
        <f t="shared" si="6"/>
        <v>125</v>
      </c>
      <c r="B193" s="15">
        <v>6050</v>
      </c>
      <c r="C193" s="84" t="s">
        <v>159</v>
      </c>
      <c r="D193" s="24"/>
      <c r="E193" s="49" t="e">
        <f>SUM(#REF!)</f>
        <v>#REF!</v>
      </c>
      <c r="F193" s="24">
        <f>SUM(F196:F198)</f>
        <v>407979</v>
      </c>
      <c r="G193" s="24" t="e">
        <f>SUM(#REF!)</f>
        <v>#REF!</v>
      </c>
      <c r="H193" s="24">
        <f>SUM(H196:H198)</f>
        <v>407386.15</v>
      </c>
      <c r="I193" s="24">
        <f>SUM(I196:I198)</f>
        <v>4770000</v>
      </c>
      <c r="J193" s="106">
        <f>I193/H193</f>
        <v>11.708792751054496</v>
      </c>
      <c r="K193" s="133">
        <f>I193/I$54</f>
        <v>0.14421497352239995</v>
      </c>
    </row>
    <row r="194" spans="1:11" ht="12.75">
      <c r="A194" s="189">
        <f t="shared" si="6"/>
        <v>126</v>
      </c>
      <c r="B194" s="15"/>
      <c r="C194" s="84" t="s">
        <v>16</v>
      </c>
      <c r="D194" s="24"/>
      <c r="E194" s="103"/>
      <c r="F194" s="176"/>
      <c r="G194" s="176"/>
      <c r="H194" s="176"/>
      <c r="I194" s="176"/>
      <c r="J194" s="106"/>
      <c r="K194" s="133"/>
    </row>
    <row r="195" spans="1:11" ht="12.75">
      <c r="A195" s="189">
        <f t="shared" si="6"/>
        <v>127</v>
      </c>
      <c r="B195" s="15"/>
      <c r="C195" s="84" t="s">
        <v>371</v>
      </c>
      <c r="D195" s="24"/>
      <c r="E195" s="103"/>
      <c r="F195" s="176"/>
      <c r="G195" s="176"/>
      <c r="H195" s="176"/>
      <c r="I195" s="176"/>
      <c r="J195" s="106"/>
      <c r="K195" s="133"/>
    </row>
    <row r="196" spans="1:11" ht="12.75">
      <c r="A196" s="189">
        <f t="shared" si="6"/>
        <v>128</v>
      </c>
      <c r="B196" s="4"/>
      <c r="C196" s="110" t="s">
        <v>534</v>
      </c>
      <c r="D196" s="26"/>
      <c r="E196" s="48"/>
      <c r="F196" s="29">
        <f>73000+8679</f>
        <v>81679</v>
      </c>
      <c r="G196" s="161"/>
      <c r="H196" s="161">
        <f>72407.15+8679</f>
        <v>81086.15</v>
      </c>
      <c r="I196" s="161">
        <v>4500000</v>
      </c>
      <c r="J196" s="106">
        <f>I196/H196</f>
        <v>55.49653054189896</v>
      </c>
      <c r="K196" s="133">
        <f>I196/I$54</f>
        <v>0.13605186181358486</v>
      </c>
    </row>
    <row r="197" spans="1:11" ht="12.75">
      <c r="A197" s="189">
        <f t="shared" si="6"/>
        <v>129</v>
      </c>
      <c r="B197" s="4"/>
      <c r="C197" s="110" t="s">
        <v>492</v>
      </c>
      <c r="D197" s="26"/>
      <c r="E197" s="48"/>
      <c r="F197" s="29">
        <v>86300</v>
      </c>
      <c r="G197" s="161"/>
      <c r="H197" s="161">
        <v>86300</v>
      </c>
      <c r="I197" s="161">
        <v>0</v>
      </c>
      <c r="J197" s="106">
        <f>I197/H197</f>
        <v>0</v>
      </c>
      <c r="K197" s="133">
        <f>I197/I$54</f>
        <v>0</v>
      </c>
    </row>
    <row r="198" spans="1:11" ht="12.75">
      <c r="A198" s="189">
        <f t="shared" si="6"/>
        <v>130</v>
      </c>
      <c r="B198" s="4"/>
      <c r="C198" s="244" t="s">
        <v>623</v>
      </c>
      <c r="D198" s="26"/>
      <c r="E198" s="48"/>
      <c r="F198" s="29">
        <f>30000+210000</f>
        <v>240000</v>
      </c>
      <c r="G198" s="161"/>
      <c r="H198" s="161">
        <v>240000</v>
      </c>
      <c r="I198" s="161">
        <v>270000</v>
      </c>
      <c r="J198" s="106">
        <f>I198/H198</f>
        <v>1.125</v>
      </c>
      <c r="K198" s="133">
        <f>I198/I$54</f>
        <v>0.00816311170881509</v>
      </c>
    </row>
    <row r="199" spans="1:11" ht="12.75">
      <c r="A199" s="189">
        <f t="shared" si="6"/>
        <v>131</v>
      </c>
      <c r="B199" s="4">
        <v>6060</v>
      </c>
      <c r="C199" s="110" t="s">
        <v>183</v>
      </c>
      <c r="D199" s="26"/>
      <c r="E199" s="48"/>
      <c r="F199" s="29">
        <f>SUM(F201:F202)</f>
        <v>624162</v>
      </c>
      <c r="G199" s="161"/>
      <c r="H199" s="29">
        <f>SUM(H201:H202)</f>
        <v>624161.42</v>
      </c>
      <c r="I199" s="29">
        <f>SUM(I201:I202)</f>
        <v>0</v>
      </c>
      <c r="J199" s="106">
        <f>I199/H199</f>
        <v>0</v>
      </c>
      <c r="K199" s="133">
        <f>I199/I$54</f>
        <v>0</v>
      </c>
    </row>
    <row r="200" spans="1:11" ht="12.75">
      <c r="A200" s="189">
        <f t="shared" si="6"/>
        <v>132</v>
      </c>
      <c r="B200" s="4"/>
      <c r="C200" s="110" t="s">
        <v>16</v>
      </c>
      <c r="D200" s="26"/>
      <c r="E200" s="48"/>
      <c r="F200" s="29"/>
      <c r="G200" s="161"/>
      <c r="H200" s="161"/>
      <c r="I200" s="161"/>
      <c r="J200" s="106"/>
      <c r="K200" s="133"/>
    </row>
    <row r="201" spans="1:11" ht="12.75">
      <c r="A201" s="189">
        <f t="shared" si="6"/>
        <v>133</v>
      </c>
      <c r="B201" s="4"/>
      <c r="C201" s="110" t="s">
        <v>495</v>
      </c>
      <c r="D201" s="26"/>
      <c r="E201" s="48"/>
      <c r="F201" s="29">
        <v>4162</v>
      </c>
      <c r="G201" s="161"/>
      <c r="H201" s="161">
        <v>4161.42</v>
      </c>
      <c r="I201" s="161">
        <v>0</v>
      </c>
      <c r="J201" s="106">
        <f>I201/H201</f>
        <v>0</v>
      </c>
      <c r="K201" s="133">
        <f>I201/I$54</f>
        <v>0</v>
      </c>
    </row>
    <row r="202" spans="1:11" ht="12.75">
      <c r="A202" s="189">
        <f t="shared" si="6"/>
        <v>134</v>
      </c>
      <c r="B202" s="4"/>
      <c r="C202" s="110" t="s">
        <v>496</v>
      </c>
      <c r="D202" s="26"/>
      <c r="E202" s="48"/>
      <c r="F202" s="29">
        <v>620000</v>
      </c>
      <c r="G202" s="161"/>
      <c r="H202" s="161">
        <v>620000</v>
      </c>
      <c r="I202" s="161">
        <v>0</v>
      </c>
      <c r="J202" s="106">
        <f>I202/H202</f>
        <v>0</v>
      </c>
      <c r="K202" s="133">
        <f>I202/I$54</f>
        <v>0</v>
      </c>
    </row>
    <row r="203" spans="1:11" s="72" customFormat="1" ht="12.75">
      <c r="A203" s="189">
        <f t="shared" si="6"/>
        <v>135</v>
      </c>
      <c r="B203" s="58">
        <v>710</v>
      </c>
      <c r="C203" s="83" t="s">
        <v>126</v>
      </c>
      <c r="D203" s="60"/>
      <c r="E203" s="61" t="e">
        <f>E204+E211+E220</f>
        <v>#REF!</v>
      </c>
      <c r="F203" s="60">
        <f>F204+F211+F220</f>
        <v>502800</v>
      </c>
      <c r="G203" s="60" t="e">
        <f>G204+G211+G220</f>
        <v>#REF!</v>
      </c>
      <c r="H203" s="60">
        <f>H204+H211+H220</f>
        <v>494800</v>
      </c>
      <c r="I203" s="60">
        <f>I204+I211+I220</f>
        <v>565000</v>
      </c>
      <c r="J203" s="213">
        <f aca="true" t="shared" si="13" ref="J203:J279">I203/H203</f>
        <v>1.1418755052546483</v>
      </c>
      <c r="K203" s="136">
        <f aca="true" t="shared" si="14" ref="K203:K279">I203/I$54</f>
        <v>0.017082067094372322</v>
      </c>
    </row>
    <row r="204" spans="1:11" ht="12.75">
      <c r="A204" s="189">
        <f t="shared" si="6"/>
        <v>136</v>
      </c>
      <c r="B204" s="11">
        <v>71004</v>
      </c>
      <c r="C204" s="70" t="s">
        <v>127</v>
      </c>
      <c r="D204" s="26"/>
      <c r="E204" s="46">
        <f>E205</f>
        <v>270000</v>
      </c>
      <c r="F204" s="27">
        <f>F205</f>
        <v>368800</v>
      </c>
      <c r="G204" s="27">
        <f>G205</f>
        <v>0</v>
      </c>
      <c r="H204" s="27">
        <f>H205</f>
        <v>360800</v>
      </c>
      <c r="I204" s="27">
        <f>I205</f>
        <v>325000</v>
      </c>
      <c r="J204" s="217">
        <f t="shared" si="13"/>
        <v>0.9007760532150776</v>
      </c>
      <c r="K204" s="139">
        <f t="shared" si="14"/>
        <v>0.009825967797647795</v>
      </c>
    </row>
    <row r="205" spans="1:11" ht="12.75">
      <c r="A205" s="189">
        <f t="shared" si="6"/>
        <v>137</v>
      </c>
      <c r="B205" s="4">
        <v>4300</v>
      </c>
      <c r="C205" s="84" t="s">
        <v>160</v>
      </c>
      <c r="D205" s="26"/>
      <c r="E205" s="48">
        <v>270000</v>
      </c>
      <c r="F205" s="161">
        <f>SUM(F207:F210)</f>
        <v>368800</v>
      </c>
      <c r="G205" s="161">
        <f>SUM(G207:G210)</f>
        <v>0</v>
      </c>
      <c r="H205" s="161">
        <f>SUM(H207:H210)</f>
        <v>360800</v>
      </c>
      <c r="I205" s="161">
        <f>SUM(I207:I210)</f>
        <v>325000</v>
      </c>
      <c r="J205" s="106">
        <f t="shared" si="13"/>
        <v>0.9007760532150776</v>
      </c>
      <c r="K205" s="133">
        <f t="shared" si="14"/>
        <v>0.009825967797647795</v>
      </c>
    </row>
    <row r="206" spans="1:11" ht="12.75">
      <c r="A206" s="189">
        <f t="shared" si="6"/>
        <v>138</v>
      </c>
      <c r="B206" s="4"/>
      <c r="C206" s="84" t="s">
        <v>16</v>
      </c>
      <c r="D206" s="26"/>
      <c r="E206" s="48"/>
      <c r="F206" s="161"/>
      <c r="G206" s="161"/>
      <c r="H206" s="161"/>
      <c r="I206" s="161"/>
      <c r="J206" s="106"/>
      <c r="K206" s="133"/>
    </row>
    <row r="207" spans="1:11" ht="12.75">
      <c r="A207" s="189">
        <f t="shared" si="6"/>
        <v>139</v>
      </c>
      <c r="B207" s="4"/>
      <c r="C207" s="84" t="s">
        <v>220</v>
      </c>
      <c r="D207" s="26"/>
      <c r="E207" s="48"/>
      <c r="F207" s="161">
        <v>275800</v>
      </c>
      <c r="G207" s="161"/>
      <c r="H207" s="161">
        <v>275800</v>
      </c>
      <c r="I207" s="161">
        <v>250000</v>
      </c>
      <c r="J207" s="106">
        <f>I207/H207</f>
        <v>0.9064539521392313</v>
      </c>
      <c r="K207" s="133">
        <f>I207/I$54</f>
        <v>0.007558436767421381</v>
      </c>
    </row>
    <row r="208" spans="1:11" ht="12.75">
      <c r="A208" s="189">
        <f t="shared" si="6"/>
        <v>140</v>
      </c>
      <c r="B208" s="4"/>
      <c r="C208" s="84" t="s">
        <v>254</v>
      </c>
      <c r="D208" s="26"/>
      <c r="E208" s="48"/>
      <c r="F208" s="161">
        <v>65000</v>
      </c>
      <c r="G208" s="161"/>
      <c r="H208" s="161">
        <v>65000</v>
      </c>
      <c r="I208" s="161">
        <v>60000</v>
      </c>
      <c r="J208" s="106">
        <f>I208/H208</f>
        <v>0.9230769230769231</v>
      </c>
      <c r="K208" s="133">
        <f>I208/I$54</f>
        <v>0.0018140248241811313</v>
      </c>
    </row>
    <row r="209" spans="1:11" ht="12.75">
      <c r="A209" s="189">
        <f t="shared" si="6"/>
        <v>141</v>
      </c>
      <c r="B209" s="4"/>
      <c r="C209" s="84" t="s">
        <v>277</v>
      </c>
      <c r="D209" s="26"/>
      <c r="E209" s="48"/>
      <c r="F209" s="161">
        <v>20000</v>
      </c>
      <c r="G209" s="161"/>
      <c r="H209" s="161">
        <v>20000</v>
      </c>
      <c r="I209" s="161">
        <v>15000</v>
      </c>
      <c r="J209" s="106">
        <f>I209/H209</f>
        <v>0.75</v>
      </c>
      <c r="K209" s="133">
        <f>I209/I$54</f>
        <v>0.00045350620604528284</v>
      </c>
    </row>
    <row r="210" spans="1:11" ht="12.75">
      <c r="A210" s="189">
        <f t="shared" si="6"/>
        <v>142</v>
      </c>
      <c r="B210" s="4"/>
      <c r="C210" s="110" t="s">
        <v>631</v>
      </c>
      <c r="D210" s="26"/>
      <c r="E210" s="48"/>
      <c r="F210" s="161">
        <v>8000</v>
      </c>
      <c r="G210" s="161"/>
      <c r="H210" s="161">
        <v>0</v>
      </c>
      <c r="I210" s="161">
        <v>0</v>
      </c>
      <c r="J210" s="106"/>
      <c r="K210" s="133">
        <f t="shared" si="14"/>
        <v>0</v>
      </c>
    </row>
    <row r="211" spans="1:11" ht="12.75">
      <c r="A211" s="189">
        <f t="shared" si="6"/>
        <v>143</v>
      </c>
      <c r="B211" s="11">
        <v>71014</v>
      </c>
      <c r="C211" s="70" t="s">
        <v>38</v>
      </c>
      <c r="D211" s="26"/>
      <c r="E211" s="46">
        <f>E212</f>
        <v>172000</v>
      </c>
      <c r="F211" s="27">
        <f>F212</f>
        <v>50000</v>
      </c>
      <c r="G211" s="27">
        <f>G212</f>
        <v>0</v>
      </c>
      <c r="H211" s="27">
        <f>H212</f>
        <v>50000</v>
      </c>
      <c r="I211" s="27">
        <f>I212</f>
        <v>40000</v>
      </c>
      <c r="J211" s="217">
        <f t="shared" si="13"/>
        <v>0.8</v>
      </c>
      <c r="K211" s="139">
        <f t="shared" si="14"/>
        <v>0.0012093498827874208</v>
      </c>
    </row>
    <row r="212" spans="1:11" ht="12.75">
      <c r="A212" s="189">
        <f t="shared" si="6"/>
        <v>144</v>
      </c>
      <c r="B212" s="4">
        <v>4300</v>
      </c>
      <c r="C212" s="84" t="s">
        <v>160</v>
      </c>
      <c r="D212" s="26"/>
      <c r="E212" s="49">
        <f>SUM(E214:E217)</f>
        <v>172000</v>
      </c>
      <c r="F212" s="24">
        <f>SUM(F214:F219)</f>
        <v>50000</v>
      </c>
      <c r="G212" s="24">
        <f>SUM(G214:G219)</f>
        <v>0</v>
      </c>
      <c r="H212" s="24">
        <f>SUM(H214:H219)</f>
        <v>50000</v>
      </c>
      <c r="I212" s="24">
        <f>SUM(I214:I219)</f>
        <v>40000</v>
      </c>
      <c r="J212" s="106">
        <f t="shared" si="13"/>
        <v>0.8</v>
      </c>
      <c r="K212" s="133">
        <f t="shared" si="14"/>
        <v>0.0012093498827874208</v>
      </c>
    </row>
    <row r="213" spans="1:11" ht="12.75">
      <c r="A213" s="189">
        <f aca="true" t="shared" si="15" ref="A213:A281">A212+1</f>
        <v>145</v>
      </c>
      <c r="B213" s="4"/>
      <c r="C213" s="84" t="s">
        <v>16</v>
      </c>
      <c r="D213" s="26"/>
      <c r="E213" s="48"/>
      <c r="F213" s="161"/>
      <c r="G213" s="161"/>
      <c r="H213" s="161"/>
      <c r="I213" s="161"/>
      <c r="J213" s="106"/>
      <c r="K213" s="133"/>
    </row>
    <row r="214" spans="1:11" ht="12.75">
      <c r="A214" s="189">
        <f t="shared" si="15"/>
        <v>146</v>
      </c>
      <c r="B214" s="4"/>
      <c r="C214" s="84" t="s">
        <v>39</v>
      </c>
      <c r="D214" s="26"/>
      <c r="E214" s="48">
        <v>80000</v>
      </c>
      <c r="F214" s="161">
        <v>25000</v>
      </c>
      <c r="G214" s="161">
        <f aca="true" t="shared" si="16" ref="G214:G219">H214-F214</f>
        <v>0</v>
      </c>
      <c r="H214" s="161">
        <v>25000</v>
      </c>
      <c r="I214" s="161">
        <v>20000</v>
      </c>
      <c r="J214" s="106">
        <f t="shared" si="13"/>
        <v>0.8</v>
      </c>
      <c r="K214" s="133">
        <f t="shared" si="14"/>
        <v>0.0006046749413937104</v>
      </c>
    </row>
    <row r="215" spans="1:11" ht="12.75">
      <c r="A215" s="189">
        <f t="shared" si="15"/>
        <v>147</v>
      </c>
      <c r="B215" s="4"/>
      <c r="C215" s="84" t="s">
        <v>40</v>
      </c>
      <c r="D215" s="26"/>
      <c r="E215" s="48">
        <v>3000</v>
      </c>
      <c r="F215" s="161">
        <v>2000</v>
      </c>
      <c r="G215" s="161">
        <f t="shared" si="16"/>
        <v>0</v>
      </c>
      <c r="H215" s="161">
        <v>2000</v>
      </c>
      <c r="I215" s="161">
        <v>2000</v>
      </c>
      <c r="J215" s="106">
        <f t="shared" si="13"/>
        <v>1</v>
      </c>
      <c r="K215" s="133">
        <f t="shared" si="14"/>
        <v>6.0467494139371045E-05</v>
      </c>
    </row>
    <row r="216" spans="1:11" ht="12.75">
      <c r="A216" s="189">
        <f t="shared" si="15"/>
        <v>148</v>
      </c>
      <c r="B216" s="4"/>
      <c r="C216" s="84" t="s">
        <v>178</v>
      </c>
      <c r="D216" s="26"/>
      <c r="E216" s="48">
        <v>80000</v>
      </c>
      <c r="F216" s="161">
        <v>3000</v>
      </c>
      <c r="G216" s="161">
        <f t="shared" si="16"/>
        <v>0</v>
      </c>
      <c r="H216" s="161">
        <v>3000</v>
      </c>
      <c r="I216" s="161">
        <v>3000</v>
      </c>
      <c r="J216" s="106">
        <f t="shared" si="13"/>
        <v>1</v>
      </c>
      <c r="K216" s="133">
        <f t="shared" si="14"/>
        <v>9.070124120905656E-05</v>
      </c>
    </row>
    <row r="217" spans="1:11" ht="12.75">
      <c r="A217" s="189">
        <f t="shared" si="15"/>
        <v>149</v>
      </c>
      <c r="B217" s="4"/>
      <c r="C217" s="84" t="s">
        <v>20</v>
      </c>
      <c r="D217" s="26"/>
      <c r="E217" s="48">
        <f>3000+3500+2500</f>
        <v>9000</v>
      </c>
      <c r="F217" s="161">
        <v>10000</v>
      </c>
      <c r="G217" s="161">
        <f t="shared" si="16"/>
        <v>0</v>
      </c>
      <c r="H217" s="161">
        <v>10000</v>
      </c>
      <c r="I217" s="161">
        <v>5000</v>
      </c>
      <c r="J217" s="106">
        <f t="shared" si="13"/>
        <v>0.5</v>
      </c>
      <c r="K217" s="133">
        <f t="shared" si="14"/>
        <v>0.0001511687353484276</v>
      </c>
    </row>
    <row r="218" spans="1:11" ht="12.75">
      <c r="A218" s="189">
        <f t="shared" si="15"/>
        <v>150</v>
      </c>
      <c r="B218" s="4"/>
      <c r="C218" s="84" t="s">
        <v>237</v>
      </c>
      <c r="D218" s="26"/>
      <c r="E218" s="48"/>
      <c r="F218" s="161">
        <v>5000</v>
      </c>
      <c r="G218" s="161">
        <f t="shared" si="16"/>
        <v>0</v>
      </c>
      <c r="H218" s="161">
        <v>5000</v>
      </c>
      <c r="I218" s="161">
        <v>5000</v>
      </c>
      <c r="J218" s="106">
        <f t="shared" si="13"/>
        <v>1</v>
      </c>
      <c r="K218" s="133">
        <f t="shared" si="14"/>
        <v>0.0001511687353484276</v>
      </c>
    </row>
    <row r="219" spans="1:11" ht="14.25" customHeight="1">
      <c r="A219" s="189">
        <f t="shared" si="15"/>
        <v>151</v>
      </c>
      <c r="B219" s="4"/>
      <c r="C219" s="84" t="s">
        <v>238</v>
      </c>
      <c r="D219" s="26"/>
      <c r="E219" s="48"/>
      <c r="F219" s="161">
        <v>5000</v>
      </c>
      <c r="G219" s="161">
        <f t="shared" si="16"/>
        <v>0</v>
      </c>
      <c r="H219" s="161">
        <v>5000</v>
      </c>
      <c r="I219" s="161">
        <v>5000</v>
      </c>
      <c r="J219" s="106">
        <f t="shared" si="13"/>
        <v>1</v>
      </c>
      <c r="K219" s="133">
        <f t="shared" si="14"/>
        <v>0.0001511687353484276</v>
      </c>
    </row>
    <row r="220" spans="1:11" s="75" customFormat="1" ht="12.75">
      <c r="A220" s="189">
        <f t="shared" si="15"/>
        <v>152</v>
      </c>
      <c r="B220" s="64">
        <v>71035</v>
      </c>
      <c r="C220" s="70" t="s">
        <v>200</v>
      </c>
      <c r="D220" s="65"/>
      <c r="E220" s="74" t="e">
        <f>E221</f>
        <v>#REF!</v>
      </c>
      <c r="F220" s="174">
        <f>SUM(F221:F226)</f>
        <v>84000</v>
      </c>
      <c r="G220" s="174" t="e">
        <f>G221</f>
        <v>#REF!</v>
      </c>
      <c r="H220" s="174">
        <f>SUM(H221:H226)</f>
        <v>84000</v>
      </c>
      <c r="I220" s="174">
        <f>SUM(I221:I226)</f>
        <v>200000</v>
      </c>
      <c r="J220" s="217">
        <f t="shared" si="13"/>
        <v>2.380952380952381</v>
      </c>
      <c r="K220" s="139">
        <f t="shared" si="14"/>
        <v>0.006046749413937105</v>
      </c>
    </row>
    <row r="221" spans="1:11" ht="12.75">
      <c r="A221" s="189">
        <f t="shared" si="15"/>
        <v>153</v>
      </c>
      <c r="B221" s="4">
        <v>2650</v>
      </c>
      <c r="C221" s="112" t="s">
        <v>435</v>
      </c>
      <c r="D221" s="26"/>
      <c r="E221" s="48" t="e">
        <f>SUM(#REF!)</f>
        <v>#REF!</v>
      </c>
      <c r="F221" s="161">
        <v>49000</v>
      </c>
      <c r="G221" s="161" t="e">
        <f>SUM(#REF!)</f>
        <v>#REF!</v>
      </c>
      <c r="H221" s="161">
        <v>49000</v>
      </c>
      <c r="I221" s="161">
        <v>50000</v>
      </c>
      <c r="J221" s="106">
        <f t="shared" si="13"/>
        <v>1.0204081632653061</v>
      </c>
      <c r="K221" s="133">
        <f t="shared" si="14"/>
        <v>0.0015116873534842762</v>
      </c>
    </row>
    <row r="222" spans="1:11" ht="12.75">
      <c r="A222" s="189">
        <f t="shared" si="15"/>
        <v>154</v>
      </c>
      <c r="B222" s="4">
        <v>4270</v>
      </c>
      <c r="C222" s="84" t="s">
        <v>573</v>
      </c>
      <c r="D222" s="26"/>
      <c r="E222" s="48"/>
      <c r="F222" s="161"/>
      <c r="G222" s="161"/>
      <c r="H222" s="161"/>
      <c r="I222" s="161"/>
      <c r="J222" s="106"/>
      <c r="K222" s="133"/>
    </row>
    <row r="223" spans="1:11" ht="12.75">
      <c r="A223" s="189">
        <f t="shared" si="15"/>
        <v>155</v>
      </c>
      <c r="B223" s="4"/>
      <c r="C223" s="224" t="s">
        <v>574</v>
      </c>
      <c r="D223" s="26"/>
      <c r="E223" s="48"/>
      <c r="F223" s="161"/>
      <c r="G223" s="161"/>
      <c r="H223" s="161"/>
      <c r="I223" s="161"/>
      <c r="J223" s="106"/>
      <c r="K223" s="133"/>
    </row>
    <row r="224" spans="1:11" ht="12.75">
      <c r="A224" s="189">
        <f t="shared" si="15"/>
        <v>156</v>
      </c>
      <c r="B224" s="4"/>
      <c r="C224" s="224" t="s">
        <v>575</v>
      </c>
      <c r="D224" s="26"/>
      <c r="E224" s="48"/>
      <c r="F224" s="161">
        <v>0</v>
      </c>
      <c r="G224" s="161"/>
      <c r="H224" s="161">
        <v>0</v>
      </c>
      <c r="I224" s="161">
        <v>50000</v>
      </c>
      <c r="J224" s="106"/>
      <c r="K224" s="133">
        <f t="shared" si="14"/>
        <v>0.0015116873534842762</v>
      </c>
    </row>
    <row r="225" spans="1:11" ht="12.75">
      <c r="A225" s="189">
        <f t="shared" si="15"/>
        <v>157</v>
      </c>
      <c r="B225" s="4">
        <v>6050</v>
      </c>
      <c r="C225" s="84" t="s">
        <v>230</v>
      </c>
      <c r="D225" s="26"/>
      <c r="E225" s="48"/>
      <c r="F225" s="161"/>
      <c r="G225" s="161"/>
      <c r="H225" s="161"/>
      <c r="I225" s="161"/>
      <c r="J225" s="106"/>
      <c r="K225" s="133"/>
    </row>
    <row r="226" spans="1:11" ht="12.75">
      <c r="A226" s="189">
        <f t="shared" si="15"/>
        <v>158</v>
      </c>
      <c r="B226" s="4"/>
      <c r="C226" s="112" t="s">
        <v>627</v>
      </c>
      <c r="D226" s="26"/>
      <c r="E226" s="48"/>
      <c r="F226" s="161">
        <v>35000</v>
      </c>
      <c r="G226" s="161"/>
      <c r="H226" s="161">
        <v>35000</v>
      </c>
      <c r="I226" s="161">
        <v>100000</v>
      </c>
      <c r="J226" s="106">
        <f t="shared" si="13"/>
        <v>2.857142857142857</v>
      </c>
      <c r="K226" s="133">
        <f t="shared" si="14"/>
        <v>0.0030233747069685524</v>
      </c>
    </row>
    <row r="227" spans="1:11" s="72" customFormat="1" ht="12.75">
      <c r="A227" s="189">
        <f t="shared" si="15"/>
        <v>159</v>
      </c>
      <c r="B227" s="58">
        <v>750</v>
      </c>
      <c r="C227" s="83" t="s">
        <v>128</v>
      </c>
      <c r="D227" s="60"/>
      <c r="E227" s="73" t="e">
        <f>E228+E249+E260+E390+#REF!+E393</f>
        <v>#REF!</v>
      </c>
      <c r="F227" s="177">
        <f>F228+F249+F260+F390+F393</f>
        <v>3856175</v>
      </c>
      <c r="G227" s="177" t="e">
        <f>G228+#REF!+G249+G260+G390+#REF!+G393</f>
        <v>#REF!</v>
      </c>
      <c r="H227" s="177">
        <f>H228+H249+H260+H390+H393</f>
        <v>3852348.6900000004</v>
      </c>
      <c r="I227" s="177">
        <f>I228+I249+I260+I390+I393</f>
        <v>3955059</v>
      </c>
      <c r="J227" s="213">
        <f t="shared" si="13"/>
        <v>1.0266617376216791</v>
      </c>
      <c r="K227" s="136">
        <f t="shared" si="14"/>
        <v>0.11957625345168335</v>
      </c>
    </row>
    <row r="228" spans="1:11" s="75" customFormat="1" ht="12.75">
      <c r="A228" s="189">
        <f t="shared" si="15"/>
        <v>160</v>
      </c>
      <c r="B228" s="64">
        <v>75011</v>
      </c>
      <c r="C228" s="70" t="s">
        <v>72</v>
      </c>
      <c r="D228" s="65"/>
      <c r="E228" s="74">
        <f>SUM(E230:E248)</f>
        <v>134800</v>
      </c>
      <c r="F228" s="174">
        <f>F229+F230+F231+F232+F233+F234+F235+F241+F246+F247+F248</f>
        <v>167420.2</v>
      </c>
      <c r="G228" s="174">
        <f>G230+G231+G232+G233+G235++G241+G247+G248</f>
        <v>0</v>
      </c>
      <c r="H228" s="174">
        <f>H229+H230+H231+H232+H233+H234+H235+H241+H246+H247+H248</f>
        <v>167420.2</v>
      </c>
      <c r="I228" s="174">
        <f>I229+I230+I231+I232+I233+I234+I235+I241+I246+I247+I248</f>
        <v>170857</v>
      </c>
      <c r="J228" s="217">
        <f t="shared" si="13"/>
        <v>1.0205279888567806</v>
      </c>
      <c r="K228" s="139">
        <f t="shared" si="14"/>
        <v>0.00516564732308526</v>
      </c>
    </row>
    <row r="229" spans="1:11" s="62" customFormat="1" ht="12.75">
      <c r="A229" s="189">
        <f t="shared" si="15"/>
        <v>161</v>
      </c>
      <c r="B229" s="90">
        <v>3020</v>
      </c>
      <c r="C229" s="84" t="s">
        <v>297</v>
      </c>
      <c r="D229" s="89"/>
      <c r="E229" s="88"/>
      <c r="F229" s="170">
        <v>2000</v>
      </c>
      <c r="G229" s="170"/>
      <c r="H229" s="170">
        <v>2000</v>
      </c>
      <c r="I229" s="170">
        <v>0</v>
      </c>
      <c r="J229" s="106">
        <f t="shared" si="13"/>
        <v>0</v>
      </c>
      <c r="K229" s="133">
        <f t="shared" si="14"/>
        <v>0</v>
      </c>
    </row>
    <row r="230" spans="1:11" ht="12.75">
      <c r="A230" s="189">
        <f t="shared" si="15"/>
        <v>162</v>
      </c>
      <c r="B230" s="15">
        <v>4010</v>
      </c>
      <c r="C230" s="127" t="s">
        <v>78</v>
      </c>
      <c r="D230" s="26"/>
      <c r="E230" s="48">
        <v>96400</v>
      </c>
      <c r="F230" s="161">
        <v>117600</v>
      </c>
      <c r="G230" s="161">
        <f aca="true" t="shared" si="17" ref="G230:G251">H230-F230</f>
        <v>0</v>
      </c>
      <c r="H230" s="161">
        <v>117600</v>
      </c>
      <c r="I230" s="161">
        <v>126200</v>
      </c>
      <c r="J230" s="106">
        <f t="shared" si="13"/>
        <v>1.0731292517006803</v>
      </c>
      <c r="K230" s="133">
        <f t="shared" si="14"/>
        <v>0.003815498880194313</v>
      </c>
    </row>
    <row r="231" spans="1:11" ht="12.75">
      <c r="A231" s="189">
        <f t="shared" si="15"/>
        <v>163</v>
      </c>
      <c r="B231" s="15">
        <v>4040</v>
      </c>
      <c r="C231" s="127" t="s">
        <v>73</v>
      </c>
      <c r="D231" s="26"/>
      <c r="E231" s="48">
        <v>7800</v>
      </c>
      <c r="F231" s="161">
        <v>9064.2</v>
      </c>
      <c r="G231" s="161">
        <f t="shared" si="17"/>
        <v>0</v>
      </c>
      <c r="H231" s="161">
        <v>9064.2</v>
      </c>
      <c r="I231" s="161">
        <v>8000</v>
      </c>
      <c r="J231" s="106">
        <f t="shared" si="13"/>
        <v>0.8825930584055955</v>
      </c>
      <c r="K231" s="133">
        <f t="shared" si="14"/>
        <v>0.00024186997655748418</v>
      </c>
    </row>
    <row r="232" spans="1:11" ht="12.75">
      <c r="A232" s="189">
        <f t="shared" si="15"/>
        <v>164</v>
      </c>
      <c r="B232" s="15">
        <v>4110</v>
      </c>
      <c r="C232" s="127" t="s">
        <v>191</v>
      </c>
      <c r="D232" s="26"/>
      <c r="E232" s="48">
        <v>18700</v>
      </c>
      <c r="F232" s="161">
        <v>21621</v>
      </c>
      <c r="G232" s="161">
        <f t="shared" si="17"/>
        <v>0</v>
      </c>
      <c r="H232" s="161">
        <v>21621</v>
      </c>
      <c r="I232" s="161">
        <v>23200</v>
      </c>
      <c r="J232" s="106">
        <f t="shared" si="13"/>
        <v>1.073030849636927</v>
      </c>
      <c r="K232" s="133">
        <f t="shared" si="14"/>
        <v>0.0007014229320167041</v>
      </c>
    </row>
    <row r="233" spans="1:11" ht="12.75">
      <c r="A233" s="189">
        <f t="shared" si="15"/>
        <v>165</v>
      </c>
      <c r="B233" s="15">
        <v>4120</v>
      </c>
      <c r="C233" s="127" t="s">
        <v>76</v>
      </c>
      <c r="D233" s="26"/>
      <c r="E233" s="48">
        <v>2600</v>
      </c>
      <c r="F233" s="161">
        <v>3087</v>
      </c>
      <c r="G233" s="161">
        <f t="shared" si="17"/>
        <v>0</v>
      </c>
      <c r="H233" s="161">
        <v>3087</v>
      </c>
      <c r="I233" s="161">
        <v>3300</v>
      </c>
      <c r="J233" s="106">
        <f t="shared" si="13"/>
        <v>1.0689990281827018</v>
      </c>
      <c r="K233" s="133">
        <f t="shared" si="14"/>
        <v>9.977136532996222E-05</v>
      </c>
    </row>
    <row r="234" spans="1:11" ht="12.75">
      <c r="A234" s="189">
        <f t="shared" si="15"/>
        <v>166</v>
      </c>
      <c r="B234" s="15">
        <v>4170</v>
      </c>
      <c r="C234" s="127" t="s">
        <v>288</v>
      </c>
      <c r="D234" s="26"/>
      <c r="E234" s="48"/>
      <c r="F234" s="161">
        <v>4500</v>
      </c>
      <c r="G234" s="161">
        <f t="shared" si="17"/>
        <v>0</v>
      </c>
      <c r="H234" s="161">
        <v>4500</v>
      </c>
      <c r="I234" s="161">
        <v>0</v>
      </c>
      <c r="J234" s="106">
        <f t="shared" si="13"/>
        <v>0</v>
      </c>
      <c r="K234" s="133">
        <f t="shared" si="14"/>
        <v>0</v>
      </c>
    </row>
    <row r="235" spans="1:11" ht="12.75">
      <c r="A235" s="189">
        <f t="shared" si="15"/>
        <v>167</v>
      </c>
      <c r="B235" s="15">
        <v>4210</v>
      </c>
      <c r="C235" s="127" t="s">
        <v>162</v>
      </c>
      <c r="D235" s="26"/>
      <c r="E235" s="53">
        <v>2000</v>
      </c>
      <c r="F235" s="178">
        <f>SUM(F237:F238)</f>
        <v>3920</v>
      </c>
      <c r="G235" s="161">
        <f t="shared" si="17"/>
        <v>0</v>
      </c>
      <c r="H235" s="178">
        <f>SUM(H237:H238)</f>
        <v>3920</v>
      </c>
      <c r="I235" s="178">
        <f>SUM(I237:I238)</f>
        <v>3900</v>
      </c>
      <c r="J235" s="106">
        <f t="shared" si="13"/>
        <v>0.9948979591836735</v>
      </c>
      <c r="K235" s="133">
        <f t="shared" si="14"/>
        <v>0.00011791161357177354</v>
      </c>
    </row>
    <row r="236" spans="1:11" ht="12.75">
      <c r="A236" s="189">
        <f t="shared" si="15"/>
        <v>168</v>
      </c>
      <c r="B236" s="15"/>
      <c r="C236" s="127" t="s">
        <v>16</v>
      </c>
      <c r="D236" s="26"/>
      <c r="E236" s="104"/>
      <c r="F236" s="178"/>
      <c r="G236" s="161"/>
      <c r="H236" s="178"/>
      <c r="I236" s="178"/>
      <c r="J236" s="106"/>
      <c r="K236" s="133"/>
    </row>
    <row r="237" spans="1:11" ht="12.75">
      <c r="A237" s="189">
        <f t="shared" si="15"/>
        <v>169</v>
      </c>
      <c r="B237" s="15"/>
      <c r="C237" s="127" t="s">
        <v>275</v>
      </c>
      <c r="D237" s="26"/>
      <c r="E237" s="104"/>
      <c r="F237" s="178">
        <v>2920</v>
      </c>
      <c r="G237" s="161"/>
      <c r="H237" s="178">
        <v>2920</v>
      </c>
      <c r="I237" s="178">
        <v>2900</v>
      </c>
      <c r="J237" s="106">
        <f>I237/H237</f>
        <v>0.9931506849315068</v>
      </c>
      <c r="K237" s="133">
        <f>I237/I$54</f>
        <v>8.767786650208801E-05</v>
      </c>
    </row>
    <row r="238" spans="1:11" ht="12.75">
      <c r="A238" s="189">
        <f t="shared" si="15"/>
        <v>170</v>
      </c>
      <c r="B238" s="15"/>
      <c r="C238" s="127" t="s">
        <v>276</v>
      </c>
      <c r="D238" s="26"/>
      <c r="E238" s="104"/>
      <c r="F238" s="178">
        <v>1000</v>
      </c>
      <c r="G238" s="161"/>
      <c r="H238" s="178">
        <v>1000</v>
      </c>
      <c r="I238" s="178">
        <v>1000</v>
      </c>
      <c r="J238" s="106">
        <f>I238/H238</f>
        <v>1</v>
      </c>
      <c r="K238" s="133">
        <f>I238/I$54</f>
        <v>3.0233747069685523E-05</v>
      </c>
    </row>
    <row r="239" spans="1:11" ht="12.75">
      <c r="A239" s="189"/>
      <c r="B239" s="15"/>
      <c r="C239" s="127"/>
      <c r="D239" s="26"/>
      <c r="E239" s="104"/>
      <c r="F239" s="178"/>
      <c r="G239" s="161"/>
      <c r="H239" s="178"/>
      <c r="I239" s="178"/>
      <c r="J239" s="106"/>
      <c r="K239" s="133"/>
    </row>
    <row r="240" spans="1:11" ht="12.75">
      <c r="A240" s="189"/>
      <c r="B240" s="15"/>
      <c r="C240" s="127"/>
      <c r="D240" s="26"/>
      <c r="E240" s="104"/>
      <c r="F240" s="178"/>
      <c r="G240" s="161"/>
      <c r="H240" s="178"/>
      <c r="I240" s="178"/>
      <c r="J240" s="106"/>
      <c r="K240" s="133"/>
    </row>
    <row r="241" spans="1:11" ht="12.75">
      <c r="A241" s="189">
        <f>A238+1</f>
        <v>171</v>
      </c>
      <c r="B241" s="15">
        <v>4300</v>
      </c>
      <c r="C241" s="127" t="s">
        <v>160</v>
      </c>
      <c r="D241" s="26"/>
      <c r="E241" s="48">
        <v>5100</v>
      </c>
      <c r="F241" s="161">
        <f>SUM(F243:F244)</f>
        <v>3200</v>
      </c>
      <c r="G241" s="161">
        <f t="shared" si="17"/>
        <v>0</v>
      </c>
      <c r="H241" s="161">
        <f>SUM(H243:H244)</f>
        <v>3200</v>
      </c>
      <c r="I241" s="161">
        <f>SUM(I243:I244)</f>
        <v>3000</v>
      </c>
      <c r="J241" s="106">
        <f t="shared" si="13"/>
        <v>0.9375</v>
      </c>
      <c r="K241" s="133">
        <f t="shared" si="14"/>
        <v>9.070124120905656E-05</v>
      </c>
    </row>
    <row r="242" spans="1:11" ht="12.75">
      <c r="A242" s="189">
        <f t="shared" si="15"/>
        <v>172</v>
      </c>
      <c r="B242" s="15"/>
      <c r="C242" s="127" t="s">
        <v>16</v>
      </c>
      <c r="D242" s="26"/>
      <c r="E242" s="48"/>
      <c r="F242" s="161"/>
      <c r="G242" s="161"/>
      <c r="H242" s="161"/>
      <c r="I242" s="161"/>
      <c r="J242" s="106"/>
      <c r="K242" s="133"/>
    </row>
    <row r="243" spans="1:11" ht="12.75">
      <c r="A243" s="189">
        <f t="shared" si="15"/>
        <v>173</v>
      </c>
      <c r="B243" s="15"/>
      <c r="C243" s="127" t="s">
        <v>275</v>
      </c>
      <c r="D243" s="26"/>
      <c r="E243" s="48"/>
      <c r="F243" s="161">
        <v>1200</v>
      </c>
      <c r="G243" s="161"/>
      <c r="H243" s="161">
        <v>1200</v>
      </c>
      <c r="I243" s="161">
        <v>1000</v>
      </c>
      <c r="J243" s="106">
        <f>I243/H243</f>
        <v>0.8333333333333334</v>
      </c>
      <c r="K243" s="133">
        <f>I243/I$54</f>
        <v>3.0233747069685523E-05</v>
      </c>
    </row>
    <row r="244" spans="1:11" ht="12.75">
      <c r="A244" s="189">
        <f t="shared" si="15"/>
        <v>174</v>
      </c>
      <c r="B244" s="15"/>
      <c r="C244" s="127" t="s">
        <v>276</v>
      </c>
      <c r="D244" s="26"/>
      <c r="E244" s="48"/>
      <c r="F244" s="161">
        <v>2000</v>
      </c>
      <c r="G244" s="161"/>
      <c r="H244" s="161">
        <v>2000</v>
      </c>
      <c r="I244" s="161">
        <v>2000</v>
      </c>
      <c r="J244" s="106">
        <f>I244/H244</f>
        <v>1</v>
      </c>
      <c r="K244" s="133">
        <f>I244/I$54</f>
        <v>6.0467494139371045E-05</v>
      </c>
    </row>
    <row r="245" spans="1:11" ht="12.75">
      <c r="A245" s="189">
        <f t="shared" si="15"/>
        <v>175</v>
      </c>
      <c r="B245" s="15">
        <v>4700</v>
      </c>
      <c r="C245" s="127" t="s">
        <v>514</v>
      </c>
      <c r="D245" s="26"/>
      <c r="E245" s="48"/>
      <c r="F245" s="161"/>
      <c r="G245" s="161"/>
      <c r="H245" s="161"/>
      <c r="I245" s="161"/>
      <c r="J245" s="106"/>
      <c r="K245" s="133"/>
    </row>
    <row r="246" spans="1:11" ht="12.75">
      <c r="A246" s="189">
        <f t="shared" si="15"/>
        <v>176</v>
      </c>
      <c r="B246" s="15"/>
      <c r="C246" s="127" t="s">
        <v>513</v>
      </c>
      <c r="D246" s="26"/>
      <c r="E246" s="48"/>
      <c r="F246" s="161">
        <v>0</v>
      </c>
      <c r="G246" s="161"/>
      <c r="H246" s="161">
        <v>0</v>
      </c>
      <c r="I246" s="161">
        <v>1200</v>
      </c>
      <c r="J246" s="106"/>
      <c r="K246" s="133">
        <f t="shared" si="14"/>
        <v>3.6280496483622625E-05</v>
      </c>
    </row>
    <row r="247" spans="1:11" ht="12.75">
      <c r="A247" s="189">
        <f t="shared" si="15"/>
        <v>177</v>
      </c>
      <c r="B247" s="15">
        <v>4410</v>
      </c>
      <c r="C247" s="127" t="s">
        <v>74</v>
      </c>
      <c r="D247" s="26"/>
      <c r="E247" s="47">
        <v>1000</v>
      </c>
      <c r="F247" s="161">
        <v>900</v>
      </c>
      <c r="G247" s="161">
        <f t="shared" si="17"/>
        <v>0</v>
      </c>
      <c r="H247" s="29">
        <v>900</v>
      </c>
      <c r="I247" s="161">
        <v>500</v>
      </c>
      <c r="J247" s="106">
        <f t="shared" si="13"/>
        <v>0.5555555555555556</v>
      </c>
      <c r="K247" s="133">
        <f t="shared" si="14"/>
        <v>1.5116873534842761E-05</v>
      </c>
    </row>
    <row r="248" spans="1:11" ht="12.75">
      <c r="A248" s="189">
        <f t="shared" si="15"/>
        <v>178</v>
      </c>
      <c r="B248" s="15">
        <v>4440</v>
      </c>
      <c r="C248" s="127" t="s">
        <v>77</v>
      </c>
      <c r="D248" s="26"/>
      <c r="E248" s="48">
        <v>1200</v>
      </c>
      <c r="F248" s="161">
        <v>1528</v>
      </c>
      <c r="G248" s="161">
        <f t="shared" si="17"/>
        <v>0</v>
      </c>
      <c r="H248" s="161">
        <v>1528</v>
      </c>
      <c r="I248" s="161">
        <v>1557</v>
      </c>
      <c r="J248" s="106">
        <f t="shared" si="13"/>
        <v>1.018979057591623</v>
      </c>
      <c r="K248" s="133">
        <f t="shared" si="14"/>
        <v>4.7073944187500355E-05</v>
      </c>
    </row>
    <row r="249" spans="1:11" s="75" customFormat="1" ht="12.75">
      <c r="A249" s="189">
        <f t="shared" si="15"/>
        <v>179</v>
      </c>
      <c r="B249" s="64">
        <v>75022</v>
      </c>
      <c r="C249" s="70" t="s">
        <v>129</v>
      </c>
      <c r="D249" s="65"/>
      <c r="E249" s="74" t="e">
        <f>E250+E251+E252+E256+#REF!</f>
        <v>#REF!</v>
      </c>
      <c r="F249" s="174">
        <f>F250+F251+F252+F256+F257+F259</f>
        <v>114000</v>
      </c>
      <c r="G249" s="174" t="e">
        <f>G250+G251+G252+G256+#REF!</f>
        <v>#REF!</v>
      </c>
      <c r="H249" s="174">
        <f>H250+H251+H252+H256+H257+H259</f>
        <v>114000</v>
      </c>
      <c r="I249" s="174">
        <f>I250+I251+I252+I256+I257+I259</f>
        <v>120000</v>
      </c>
      <c r="J249" s="217">
        <f t="shared" si="13"/>
        <v>1.0526315789473684</v>
      </c>
      <c r="K249" s="139">
        <f t="shared" si="14"/>
        <v>0.0036280496483622627</v>
      </c>
    </row>
    <row r="250" spans="1:11" ht="12.75">
      <c r="A250" s="189">
        <f t="shared" si="15"/>
        <v>180</v>
      </c>
      <c r="B250" s="15">
        <v>3030</v>
      </c>
      <c r="C250" s="127" t="s">
        <v>79</v>
      </c>
      <c r="D250" s="26"/>
      <c r="E250" s="48">
        <v>110000</v>
      </c>
      <c r="F250" s="161">
        <v>98000</v>
      </c>
      <c r="G250" s="161">
        <f t="shared" si="17"/>
        <v>0</v>
      </c>
      <c r="H250" s="161">
        <v>98000</v>
      </c>
      <c r="I250" s="161">
        <v>98000</v>
      </c>
      <c r="J250" s="106">
        <f t="shared" si="13"/>
        <v>1</v>
      </c>
      <c r="K250" s="133">
        <f t="shared" si="14"/>
        <v>0.0029629072128291812</v>
      </c>
    </row>
    <row r="251" spans="1:11" ht="12.75">
      <c r="A251" s="189">
        <f t="shared" si="15"/>
        <v>181</v>
      </c>
      <c r="B251" s="15">
        <v>4210</v>
      </c>
      <c r="C251" s="127" t="s">
        <v>162</v>
      </c>
      <c r="D251" s="26"/>
      <c r="E251" s="48">
        <v>6400</v>
      </c>
      <c r="F251" s="161">
        <v>6000</v>
      </c>
      <c r="G251" s="161">
        <f t="shared" si="17"/>
        <v>0</v>
      </c>
      <c r="H251" s="161">
        <v>6000</v>
      </c>
      <c r="I251" s="161">
        <v>6000</v>
      </c>
      <c r="J251" s="106">
        <f t="shared" si="13"/>
        <v>1</v>
      </c>
      <c r="K251" s="133">
        <f t="shared" si="14"/>
        <v>0.00018140248241811313</v>
      </c>
    </row>
    <row r="252" spans="1:11" ht="12.75">
      <c r="A252" s="189">
        <f>A251+1</f>
        <v>182</v>
      </c>
      <c r="B252" s="15">
        <v>4300</v>
      </c>
      <c r="C252" s="127" t="s">
        <v>160</v>
      </c>
      <c r="D252" s="26"/>
      <c r="E252" s="47">
        <f>SUM(E254:E255)</f>
        <v>8100</v>
      </c>
      <c r="F252" s="29">
        <f>SUM(F254:F255)</f>
        <v>8000</v>
      </c>
      <c r="G252" s="29">
        <f>SUM(G254:G255)</f>
        <v>0</v>
      </c>
      <c r="H252" s="29">
        <f>SUM(H254:H255)</f>
        <v>8000</v>
      </c>
      <c r="I252" s="29">
        <f>SUM(I254:I255)</f>
        <v>8000</v>
      </c>
      <c r="J252" s="106">
        <f t="shared" si="13"/>
        <v>1</v>
      </c>
      <c r="K252" s="133">
        <f t="shared" si="14"/>
        <v>0.00024186997655748418</v>
      </c>
    </row>
    <row r="253" spans="1:11" ht="12.75">
      <c r="A253" s="189">
        <f t="shared" si="15"/>
        <v>183</v>
      </c>
      <c r="B253" s="17"/>
      <c r="C253" s="127" t="s">
        <v>16</v>
      </c>
      <c r="D253" s="26"/>
      <c r="E253" s="48"/>
      <c r="F253" s="161"/>
      <c r="G253" s="161"/>
      <c r="H253" s="161"/>
      <c r="I253" s="161"/>
      <c r="J253" s="106"/>
      <c r="K253" s="133"/>
    </row>
    <row r="254" spans="1:11" ht="12.75">
      <c r="A254" s="189">
        <f t="shared" si="15"/>
        <v>184</v>
      </c>
      <c r="B254" s="15"/>
      <c r="C254" s="127" t="s">
        <v>56</v>
      </c>
      <c r="D254" s="26"/>
      <c r="E254" s="48">
        <v>2800</v>
      </c>
      <c r="F254" s="161">
        <v>1000</v>
      </c>
      <c r="G254" s="161">
        <f>H254-F254</f>
        <v>0</v>
      </c>
      <c r="H254" s="161">
        <v>1000</v>
      </c>
      <c r="I254" s="161">
        <v>0</v>
      </c>
      <c r="J254" s="106">
        <f t="shared" si="13"/>
        <v>0</v>
      </c>
      <c r="K254" s="133">
        <f t="shared" si="14"/>
        <v>0</v>
      </c>
    </row>
    <row r="255" spans="1:11" ht="12.75">
      <c r="A255" s="189">
        <f t="shared" si="15"/>
        <v>185</v>
      </c>
      <c r="B255" s="76"/>
      <c r="C255" s="127" t="s">
        <v>80</v>
      </c>
      <c r="D255" s="26"/>
      <c r="E255" s="48">
        <v>5300</v>
      </c>
      <c r="F255" s="161">
        <v>7000</v>
      </c>
      <c r="G255" s="161">
        <f>H255-F255</f>
        <v>0</v>
      </c>
      <c r="H255" s="161">
        <v>7000</v>
      </c>
      <c r="I255" s="161">
        <v>8000</v>
      </c>
      <c r="J255" s="106">
        <f t="shared" si="13"/>
        <v>1.1428571428571428</v>
      </c>
      <c r="K255" s="133">
        <f t="shared" si="14"/>
        <v>0.00024186997655748418</v>
      </c>
    </row>
    <row r="256" spans="1:11" ht="12.75">
      <c r="A256" s="189">
        <f t="shared" si="15"/>
        <v>186</v>
      </c>
      <c r="B256" s="15">
        <v>4410</v>
      </c>
      <c r="C256" s="127" t="s">
        <v>74</v>
      </c>
      <c r="D256" s="26"/>
      <c r="E256" s="53" t="e">
        <f>SUM(#REF!)</f>
        <v>#REF!</v>
      </c>
      <c r="F256" s="175">
        <v>1000</v>
      </c>
      <c r="G256" s="175" t="e">
        <f>SUM(#REF!)</f>
        <v>#REF!</v>
      </c>
      <c r="H256" s="175">
        <v>1000</v>
      </c>
      <c r="I256" s="175">
        <v>2000</v>
      </c>
      <c r="J256" s="106">
        <f t="shared" si="13"/>
        <v>2</v>
      </c>
      <c r="K256" s="133">
        <f t="shared" si="14"/>
        <v>6.0467494139371045E-05</v>
      </c>
    </row>
    <row r="257" spans="1:11" ht="12.75">
      <c r="A257" s="189">
        <f t="shared" si="15"/>
        <v>187</v>
      </c>
      <c r="B257" s="15">
        <v>4420</v>
      </c>
      <c r="C257" s="127" t="s">
        <v>47</v>
      </c>
      <c r="D257" s="26"/>
      <c r="E257" s="104"/>
      <c r="F257" s="178">
        <v>1000</v>
      </c>
      <c r="G257" s="178"/>
      <c r="H257" s="178">
        <v>1000</v>
      </c>
      <c r="I257" s="178">
        <v>1000</v>
      </c>
      <c r="J257" s="106">
        <f>I257/H257</f>
        <v>1</v>
      </c>
      <c r="K257" s="133">
        <f>I257/I$54</f>
        <v>3.0233747069685523E-05</v>
      </c>
    </row>
    <row r="258" spans="1:11" ht="12.75">
      <c r="A258" s="189">
        <f t="shared" si="15"/>
        <v>188</v>
      </c>
      <c r="B258" s="15">
        <v>4700</v>
      </c>
      <c r="C258" s="127" t="s">
        <v>514</v>
      </c>
      <c r="D258" s="26"/>
      <c r="E258" s="104"/>
      <c r="F258" s="178"/>
      <c r="G258" s="178"/>
      <c r="H258" s="178"/>
      <c r="I258" s="178"/>
      <c r="J258" s="106"/>
      <c r="K258" s="133"/>
    </row>
    <row r="259" spans="1:11" ht="12.75">
      <c r="A259" s="189">
        <f t="shared" si="15"/>
        <v>189</v>
      </c>
      <c r="B259" s="15"/>
      <c r="C259" s="127" t="s">
        <v>513</v>
      </c>
      <c r="D259" s="26"/>
      <c r="E259" s="104"/>
      <c r="F259" s="178">
        <v>0</v>
      </c>
      <c r="G259" s="178"/>
      <c r="H259" s="178">
        <v>0</v>
      </c>
      <c r="I259" s="178">
        <v>5000</v>
      </c>
      <c r="J259" s="106"/>
      <c r="K259" s="133">
        <f>I259/I$54</f>
        <v>0.0001511687353484276</v>
      </c>
    </row>
    <row r="260" spans="1:11" s="75" customFormat="1" ht="12.75">
      <c r="A260" s="189">
        <f t="shared" si="15"/>
        <v>190</v>
      </c>
      <c r="B260" s="64">
        <v>75023</v>
      </c>
      <c r="C260" s="70" t="s">
        <v>130</v>
      </c>
      <c r="D260" s="65"/>
      <c r="E260" s="74" t="e">
        <f>E261+E265+E267+E268+E269+E270+E271+E273+E290+E298+E347+E352+E353+E358+E361+E381</f>
        <v>#REF!</v>
      </c>
      <c r="F260" s="174">
        <f>F261+F266+F267+F268+F269+F270+F271+F272+F273+F290+F296+F297+F298+F342+F344+F346+F347+F352+F353+F358+F359+F360+F361+F366+F368+F370+F374+F381+F389</f>
        <v>3250582.8</v>
      </c>
      <c r="G260" s="174" t="e">
        <f>G261+G266+G267+G268+G269+G270+G271+G272+G273+G290+G298+G342+G347+G352+G353+G358+#REF!+G360+#REF!+G361+G374+G381</f>
        <v>#REF!</v>
      </c>
      <c r="H260" s="174">
        <f>H261+H266+H267+H268+H269+H270+H271+H272+H273+H290+H296+H297+H298+H342+H344+H346+H347+H352+H353+H358+H359+H360+H361+H366+H368+H370+H374+H381+H389</f>
        <v>3247394.79</v>
      </c>
      <c r="I260" s="174">
        <f>I261+I266+I267+I268+I269+I270+I271+I272+I273+I290+I296+I297+I298+I342+I344+I346+I347+I352+I353+I358+I359+I360+I361+I366+I368+I370+I374+I381+I389</f>
        <v>3359070</v>
      </c>
      <c r="J260" s="217">
        <f t="shared" si="13"/>
        <v>1.03438916954104</v>
      </c>
      <c r="K260" s="139">
        <f t="shared" si="14"/>
        <v>0.10155727276936855</v>
      </c>
    </row>
    <row r="261" spans="1:11" ht="12.75">
      <c r="A261" s="189">
        <f t="shared" si="15"/>
        <v>191</v>
      </c>
      <c r="B261" s="15">
        <v>3020</v>
      </c>
      <c r="C261" s="130" t="s">
        <v>296</v>
      </c>
      <c r="D261" s="26"/>
      <c r="E261" s="47">
        <f>SUM(E263:E264)</f>
        <v>6800</v>
      </c>
      <c r="F261" s="29">
        <f>SUM(F263:F264)</f>
        <v>3700</v>
      </c>
      <c r="G261" s="161">
        <f aca="true" t="shared" si="18" ref="G261:G338">H261-F261</f>
        <v>0</v>
      </c>
      <c r="H261" s="29">
        <f>SUM(H263:H264)</f>
        <v>3700</v>
      </c>
      <c r="I261" s="29">
        <f>SUM(I263:I264)</f>
        <v>7900</v>
      </c>
      <c r="J261" s="106">
        <f t="shared" si="13"/>
        <v>2.135135135135135</v>
      </c>
      <c r="K261" s="133">
        <f t="shared" si="14"/>
        <v>0.00023884660185051563</v>
      </c>
    </row>
    <row r="262" spans="1:11" ht="12.75">
      <c r="A262" s="189">
        <f t="shared" si="15"/>
        <v>192</v>
      </c>
      <c r="B262" s="15"/>
      <c r="C262" s="127" t="s">
        <v>16</v>
      </c>
      <c r="D262" s="26"/>
      <c r="E262" s="48"/>
      <c r="F262" s="161"/>
      <c r="G262" s="161">
        <f t="shared" si="18"/>
        <v>0</v>
      </c>
      <c r="H262" s="161"/>
      <c r="I262" s="161"/>
      <c r="J262" s="106"/>
      <c r="K262" s="133"/>
    </row>
    <row r="263" spans="1:11" ht="12.75">
      <c r="A263" s="189">
        <f t="shared" si="15"/>
        <v>193</v>
      </c>
      <c r="B263" s="15"/>
      <c r="C263" s="127" t="s">
        <v>81</v>
      </c>
      <c r="D263" s="26"/>
      <c r="E263" s="48">
        <v>800</v>
      </c>
      <c r="F263" s="161">
        <v>400</v>
      </c>
      <c r="G263" s="161">
        <f t="shared" si="18"/>
        <v>0</v>
      </c>
      <c r="H263" s="161">
        <v>400</v>
      </c>
      <c r="I263" s="161">
        <v>400</v>
      </c>
      <c r="J263" s="106">
        <f t="shared" si="13"/>
        <v>1</v>
      </c>
      <c r="K263" s="133">
        <f t="shared" si="14"/>
        <v>1.2093498827874209E-05</v>
      </c>
    </row>
    <row r="264" spans="1:11" ht="12.75">
      <c r="A264" s="189">
        <f t="shared" si="15"/>
        <v>194</v>
      </c>
      <c r="B264" s="15"/>
      <c r="C264" s="127" t="s">
        <v>82</v>
      </c>
      <c r="D264" s="26"/>
      <c r="E264" s="48">
        <v>6000</v>
      </c>
      <c r="F264" s="161">
        <v>3300</v>
      </c>
      <c r="G264" s="161">
        <f t="shared" si="18"/>
        <v>0</v>
      </c>
      <c r="H264" s="161">
        <v>3300</v>
      </c>
      <c r="I264" s="161">
        <v>7500</v>
      </c>
      <c r="J264" s="106">
        <f t="shared" si="13"/>
        <v>2.272727272727273</v>
      </c>
      <c r="K264" s="133">
        <f t="shared" si="14"/>
        <v>0.00022675310302264142</v>
      </c>
    </row>
    <row r="265" spans="1:11" ht="12.75">
      <c r="A265" s="189">
        <f t="shared" si="15"/>
        <v>195</v>
      </c>
      <c r="B265" s="15">
        <v>3030</v>
      </c>
      <c r="C265" s="127" t="s">
        <v>83</v>
      </c>
      <c r="D265" s="26"/>
      <c r="E265" s="47">
        <f>SUM(E266:E266)</f>
        <v>5100</v>
      </c>
      <c r="F265" s="29"/>
      <c r="G265" s="161">
        <f t="shared" si="18"/>
        <v>0</v>
      </c>
      <c r="H265" s="29"/>
      <c r="I265" s="29"/>
      <c r="J265" s="106"/>
      <c r="K265" s="133"/>
    </row>
    <row r="266" spans="1:11" ht="12.75">
      <c r="A266" s="189">
        <f t="shared" si="15"/>
        <v>196</v>
      </c>
      <c r="B266" s="15"/>
      <c r="C266" s="127" t="s">
        <v>239</v>
      </c>
      <c r="D266" s="26"/>
      <c r="E266" s="48">
        <v>5100</v>
      </c>
      <c r="F266" s="161">
        <v>6480</v>
      </c>
      <c r="G266" s="161">
        <f t="shared" si="18"/>
        <v>0</v>
      </c>
      <c r="H266" s="161">
        <v>6480</v>
      </c>
      <c r="I266" s="161">
        <v>6800</v>
      </c>
      <c r="J266" s="106">
        <f t="shared" si="13"/>
        <v>1.0493827160493827</v>
      </c>
      <c r="K266" s="133">
        <f t="shared" si="14"/>
        <v>0.00020558948007386155</v>
      </c>
    </row>
    <row r="267" spans="1:11" ht="12.75">
      <c r="A267" s="189">
        <f t="shared" si="15"/>
        <v>197</v>
      </c>
      <c r="B267" s="15">
        <v>4010</v>
      </c>
      <c r="C267" s="127" t="s">
        <v>78</v>
      </c>
      <c r="D267" s="26"/>
      <c r="E267" s="48">
        <v>1320000</v>
      </c>
      <c r="F267" s="161">
        <v>1551900</v>
      </c>
      <c r="G267" s="161">
        <f t="shared" si="18"/>
        <v>0</v>
      </c>
      <c r="H267" s="161">
        <v>1551900</v>
      </c>
      <c r="I267" s="161">
        <v>1725000</v>
      </c>
      <c r="J267" s="106">
        <f t="shared" si="13"/>
        <v>1.1115406920549005</v>
      </c>
      <c r="K267" s="133">
        <f t="shared" si="14"/>
        <v>0.05215321369520753</v>
      </c>
    </row>
    <row r="268" spans="1:11" ht="12.75">
      <c r="A268" s="189">
        <f t="shared" si="15"/>
        <v>198</v>
      </c>
      <c r="B268" s="15">
        <v>4040</v>
      </c>
      <c r="C268" s="127" t="s">
        <v>73</v>
      </c>
      <c r="D268" s="26"/>
      <c r="E268" s="48">
        <v>94000</v>
      </c>
      <c r="F268" s="161">
        <v>123785.8</v>
      </c>
      <c r="G268" s="161">
        <f t="shared" si="18"/>
        <v>-1587.800000000003</v>
      </c>
      <c r="H268" s="161">
        <v>122198</v>
      </c>
      <c r="I268" s="161">
        <v>122000</v>
      </c>
      <c r="J268" s="106">
        <f t="shared" si="13"/>
        <v>0.9983796788818148</v>
      </c>
      <c r="K268" s="133">
        <f t="shared" si="14"/>
        <v>0.003688517142501634</v>
      </c>
    </row>
    <row r="269" spans="1:11" ht="12.75">
      <c r="A269" s="189">
        <f t="shared" si="15"/>
        <v>199</v>
      </c>
      <c r="B269" s="15">
        <v>4110</v>
      </c>
      <c r="C269" s="127" t="s">
        <v>75</v>
      </c>
      <c r="D269" s="26"/>
      <c r="E269" s="48">
        <v>252000</v>
      </c>
      <c r="F269" s="161">
        <v>285915</v>
      </c>
      <c r="G269" s="161">
        <f t="shared" si="18"/>
        <v>0</v>
      </c>
      <c r="H269" s="161">
        <v>285915</v>
      </c>
      <c r="I269" s="161">
        <v>302000</v>
      </c>
      <c r="J269" s="106">
        <f t="shared" si="13"/>
        <v>1.0562579787699142</v>
      </c>
      <c r="K269" s="133">
        <f t="shared" si="14"/>
        <v>0.009130591615045027</v>
      </c>
    </row>
    <row r="270" spans="1:11" ht="12.75">
      <c r="A270" s="189">
        <f t="shared" si="15"/>
        <v>200</v>
      </c>
      <c r="B270" s="15">
        <v>4120</v>
      </c>
      <c r="C270" s="127" t="s">
        <v>76</v>
      </c>
      <c r="D270" s="26"/>
      <c r="E270" s="48">
        <v>34500</v>
      </c>
      <c r="F270" s="161">
        <v>40831</v>
      </c>
      <c r="G270" s="161">
        <f t="shared" si="18"/>
        <v>0</v>
      </c>
      <c r="H270" s="161">
        <v>40831</v>
      </c>
      <c r="I270" s="161">
        <v>43000</v>
      </c>
      <c r="J270" s="106">
        <f t="shared" si="13"/>
        <v>1.0531214028556735</v>
      </c>
      <c r="K270" s="133">
        <f t="shared" si="14"/>
        <v>0.0013000511239964776</v>
      </c>
    </row>
    <row r="271" spans="1:11" ht="12.75">
      <c r="A271" s="189">
        <f t="shared" si="15"/>
        <v>201</v>
      </c>
      <c r="B271" s="15">
        <v>4140</v>
      </c>
      <c r="C271" s="127" t="s">
        <v>188</v>
      </c>
      <c r="D271" s="26"/>
      <c r="E271" s="48">
        <v>8000</v>
      </c>
      <c r="F271" s="161">
        <v>17200</v>
      </c>
      <c r="G271" s="161">
        <f t="shared" si="18"/>
        <v>0</v>
      </c>
      <c r="H271" s="161">
        <v>17200</v>
      </c>
      <c r="I271" s="161">
        <v>18000</v>
      </c>
      <c r="J271" s="106">
        <f t="shared" si="13"/>
        <v>1.0465116279069768</v>
      </c>
      <c r="K271" s="133">
        <f t="shared" si="14"/>
        <v>0.0005442074472543394</v>
      </c>
    </row>
    <row r="272" spans="1:11" ht="12.75">
      <c r="A272" s="189">
        <f t="shared" si="15"/>
        <v>202</v>
      </c>
      <c r="B272" s="15">
        <v>4170</v>
      </c>
      <c r="C272" s="127" t="s">
        <v>290</v>
      </c>
      <c r="D272" s="26"/>
      <c r="E272" s="48"/>
      <c r="F272" s="161">
        <v>20450</v>
      </c>
      <c r="G272" s="161"/>
      <c r="H272" s="161">
        <v>20450</v>
      </c>
      <c r="I272" s="161">
        <f>2000+5000+20000</f>
        <v>27000</v>
      </c>
      <c r="J272" s="106">
        <f t="shared" si="13"/>
        <v>1.3202933985330074</v>
      </c>
      <c r="K272" s="133">
        <f t="shared" si="14"/>
        <v>0.0008163111708815091</v>
      </c>
    </row>
    <row r="273" spans="1:11" ht="12.75">
      <c r="A273" s="189">
        <f t="shared" si="15"/>
        <v>203</v>
      </c>
      <c r="B273" s="15">
        <v>4210</v>
      </c>
      <c r="C273" s="127" t="s">
        <v>162</v>
      </c>
      <c r="D273" s="26"/>
      <c r="E273" s="53">
        <f>SUM(E275:E285)</f>
        <v>115280</v>
      </c>
      <c r="F273" s="178">
        <f>SUM(F275:F289)</f>
        <v>216450</v>
      </c>
      <c r="G273" s="161">
        <f t="shared" si="18"/>
        <v>0</v>
      </c>
      <c r="H273" s="178">
        <f>SUM(H275:H289)</f>
        <v>216450</v>
      </c>
      <c r="I273" s="178">
        <f>SUM(I275:I289)</f>
        <v>172230</v>
      </c>
      <c r="J273" s="106">
        <f t="shared" si="13"/>
        <v>0.7957033957033957</v>
      </c>
      <c r="K273" s="133">
        <f t="shared" si="14"/>
        <v>0.0052071582578119375</v>
      </c>
    </row>
    <row r="274" spans="1:11" ht="12.75">
      <c r="A274" s="189">
        <f t="shared" si="15"/>
        <v>204</v>
      </c>
      <c r="B274" s="15"/>
      <c r="C274" s="127" t="s">
        <v>16</v>
      </c>
      <c r="D274" s="26"/>
      <c r="E274" s="48"/>
      <c r="F274" s="161"/>
      <c r="G274" s="161">
        <f t="shared" si="18"/>
        <v>0</v>
      </c>
      <c r="H274" s="161"/>
      <c r="I274" s="161"/>
      <c r="J274" s="106"/>
      <c r="K274" s="133"/>
    </row>
    <row r="275" spans="1:11" ht="12.75">
      <c r="A275" s="189">
        <f t="shared" si="15"/>
        <v>205</v>
      </c>
      <c r="B275" s="15"/>
      <c r="C275" s="127" t="s">
        <v>86</v>
      </c>
      <c r="D275" s="26"/>
      <c r="E275" s="48">
        <v>8000</v>
      </c>
      <c r="F275" s="175">
        <v>11408</v>
      </c>
      <c r="G275" s="161">
        <f t="shared" si="18"/>
        <v>0</v>
      </c>
      <c r="H275" s="161">
        <v>11408</v>
      </c>
      <c r="I275" s="175">
        <v>11600</v>
      </c>
      <c r="J275" s="106">
        <f t="shared" si="13"/>
        <v>1.0168302945301544</v>
      </c>
      <c r="K275" s="133">
        <f t="shared" si="14"/>
        <v>0.00035071146600835205</v>
      </c>
    </row>
    <row r="276" spans="1:11" ht="12.75">
      <c r="A276" s="189">
        <f t="shared" si="15"/>
        <v>206</v>
      </c>
      <c r="B276" s="15"/>
      <c r="C276" s="127" t="s">
        <v>87</v>
      </c>
      <c r="D276" s="26"/>
      <c r="E276" s="48">
        <v>22000</v>
      </c>
      <c r="F276" s="175">
        <v>23350</v>
      </c>
      <c r="G276" s="161">
        <f t="shared" si="18"/>
        <v>0</v>
      </c>
      <c r="H276" s="161">
        <v>23350</v>
      </c>
      <c r="I276" s="175">
        <v>23800</v>
      </c>
      <c r="J276" s="106">
        <f t="shared" si="13"/>
        <v>1.019271948608137</v>
      </c>
      <c r="K276" s="133">
        <f t="shared" si="14"/>
        <v>0.0007195631802585155</v>
      </c>
    </row>
    <row r="277" spans="1:11" ht="12.75">
      <c r="A277" s="189">
        <f t="shared" si="15"/>
        <v>207</v>
      </c>
      <c r="B277" s="15"/>
      <c r="C277" s="127" t="s">
        <v>517</v>
      </c>
      <c r="D277" s="26"/>
      <c r="E277" s="48">
        <v>9000</v>
      </c>
      <c r="F277" s="175">
        <v>6900</v>
      </c>
      <c r="G277" s="161">
        <f t="shared" si="18"/>
        <v>0</v>
      </c>
      <c r="H277" s="161">
        <v>6900</v>
      </c>
      <c r="I277" s="175">
        <v>500</v>
      </c>
      <c r="J277" s="106">
        <f t="shared" si="13"/>
        <v>0.07246376811594203</v>
      </c>
      <c r="K277" s="133">
        <f t="shared" si="14"/>
        <v>1.5116873534842761E-05</v>
      </c>
    </row>
    <row r="278" spans="1:11" ht="12.75">
      <c r="A278" s="189">
        <f t="shared" si="15"/>
        <v>208</v>
      </c>
      <c r="B278" s="15"/>
      <c r="C278" s="127" t="s">
        <v>88</v>
      </c>
      <c r="D278" s="26"/>
      <c r="E278" s="48">
        <v>23280</v>
      </c>
      <c r="F278" s="175">
        <v>45213</v>
      </c>
      <c r="G278" s="161">
        <f t="shared" si="18"/>
        <v>0</v>
      </c>
      <c r="H278" s="161">
        <v>45213</v>
      </c>
      <c r="I278" s="175">
        <v>50000</v>
      </c>
      <c r="J278" s="106">
        <f t="shared" si="13"/>
        <v>1.1058766284033352</v>
      </c>
      <c r="K278" s="133">
        <f t="shared" si="14"/>
        <v>0.0015116873534842762</v>
      </c>
    </row>
    <row r="279" spans="1:11" ht="12.75">
      <c r="A279" s="189">
        <f t="shared" si="15"/>
        <v>209</v>
      </c>
      <c r="B279" s="15"/>
      <c r="C279" s="127" t="s">
        <v>89</v>
      </c>
      <c r="D279" s="26"/>
      <c r="E279" s="48">
        <v>15000</v>
      </c>
      <c r="F279" s="175">
        <v>11500</v>
      </c>
      <c r="G279" s="161">
        <f t="shared" si="18"/>
        <v>0</v>
      </c>
      <c r="H279" s="161">
        <v>11500</v>
      </c>
      <c r="I279" s="175">
        <v>11700</v>
      </c>
      <c r="J279" s="106">
        <f t="shared" si="13"/>
        <v>1.017391304347826</v>
      </c>
      <c r="K279" s="133">
        <f t="shared" si="14"/>
        <v>0.00035373484071532063</v>
      </c>
    </row>
    <row r="280" spans="1:11" ht="12.75">
      <c r="A280" s="189">
        <f t="shared" si="15"/>
        <v>210</v>
      </c>
      <c r="B280" s="15"/>
      <c r="C280" s="127" t="s">
        <v>90</v>
      </c>
      <c r="D280" s="26"/>
      <c r="E280" s="48">
        <v>7400</v>
      </c>
      <c r="F280" s="175">
        <v>8170</v>
      </c>
      <c r="G280" s="161">
        <f t="shared" si="18"/>
        <v>0</v>
      </c>
      <c r="H280" s="161">
        <v>8170</v>
      </c>
      <c r="I280" s="175">
        <v>8320</v>
      </c>
      <c r="J280" s="106">
        <f aca="true" t="shared" si="19" ref="J280:J287">I280/H280</f>
        <v>1.018359853121175</v>
      </c>
      <c r="K280" s="133">
        <f aca="true" t="shared" si="20" ref="K280:K290">I280/I$54</f>
        <v>0.00025154477561978354</v>
      </c>
    </row>
    <row r="281" spans="1:11" ht="12.75">
      <c r="A281" s="189">
        <f t="shared" si="15"/>
        <v>211</v>
      </c>
      <c r="B281" s="15"/>
      <c r="C281" s="127" t="s">
        <v>91</v>
      </c>
      <c r="D281" s="26"/>
      <c r="E281" s="48">
        <v>18000</v>
      </c>
      <c r="F281" s="175">
        <v>8000</v>
      </c>
      <c r="G281" s="161">
        <f t="shared" si="18"/>
        <v>0</v>
      </c>
      <c r="H281" s="161">
        <v>8000</v>
      </c>
      <c r="I281" s="175">
        <v>8000</v>
      </c>
      <c r="J281" s="106">
        <f t="shared" si="19"/>
        <v>1</v>
      </c>
      <c r="K281" s="133">
        <f t="shared" si="20"/>
        <v>0.00024186997655748418</v>
      </c>
    </row>
    <row r="282" spans="1:11" ht="12.75">
      <c r="A282" s="189">
        <f aca="true" t="shared" si="21" ref="A282:A361">A281+1</f>
        <v>212</v>
      </c>
      <c r="B282" s="15"/>
      <c r="C282" s="127" t="s">
        <v>436</v>
      </c>
      <c r="D282" s="26"/>
      <c r="E282" s="48">
        <f>500+600</f>
        <v>1100</v>
      </c>
      <c r="F282" s="175">
        <v>20000</v>
      </c>
      <c r="G282" s="161">
        <f t="shared" si="18"/>
        <v>0</v>
      </c>
      <c r="H282" s="161">
        <v>20000</v>
      </c>
      <c r="I282" s="175">
        <v>0</v>
      </c>
      <c r="J282" s="106">
        <f t="shared" si="19"/>
        <v>0</v>
      </c>
      <c r="K282" s="133">
        <f t="shared" si="20"/>
        <v>0</v>
      </c>
    </row>
    <row r="283" spans="1:11" ht="12.75">
      <c r="A283" s="189">
        <f t="shared" si="21"/>
        <v>213</v>
      </c>
      <c r="B283" s="15"/>
      <c r="C283" s="127" t="s">
        <v>20</v>
      </c>
      <c r="D283" s="26"/>
      <c r="E283" s="48">
        <v>5000</v>
      </c>
      <c r="F283" s="175">
        <v>8300</v>
      </c>
      <c r="G283" s="161">
        <f t="shared" si="18"/>
        <v>0</v>
      </c>
      <c r="H283" s="161">
        <v>8300</v>
      </c>
      <c r="I283" s="175">
        <v>8450</v>
      </c>
      <c r="J283" s="106">
        <f t="shared" si="19"/>
        <v>1.0180722891566265</v>
      </c>
      <c r="K283" s="133">
        <f t="shared" si="20"/>
        <v>0.00025547516273884265</v>
      </c>
    </row>
    <row r="284" spans="1:11" ht="12.75">
      <c r="A284" s="189">
        <f t="shared" si="21"/>
        <v>214</v>
      </c>
      <c r="B284" s="15"/>
      <c r="C284" s="127" t="s">
        <v>93</v>
      </c>
      <c r="D284" s="26"/>
      <c r="E284" s="48">
        <v>6500</v>
      </c>
      <c r="F284" s="175">
        <v>5000</v>
      </c>
      <c r="G284" s="161">
        <f t="shared" si="18"/>
        <v>0</v>
      </c>
      <c r="H284" s="161">
        <v>5000</v>
      </c>
      <c r="I284" s="175">
        <v>5100</v>
      </c>
      <c r="J284" s="106">
        <f t="shared" si="19"/>
        <v>1.02</v>
      </c>
      <c r="K284" s="133">
        <f t="shared" si="20"/>
        <v>0.00015419211005539616</v>
      </c>
    </row>
    <row r="285" spans="1:11" ht="12.75">
      <c r="A285" s="189">
        <f t="shared" si="21"/>
        <v>215</v>
      </c>
      <c r="B285" s="15"/>
      <c r="C285" s="127" t="s">
        <v>201</v>
      </c>
      <c r="D285" s="26"/>
      <c r="E285" s="48">
        <v>0</v>
      </c>
      <c r="F285" s="175">
        <v>32949</v>
      </c>
      <c r="G285" s="161">
        <f t="shared" si="18"/>
        <v>0</v>
      </c>
      <c r="H285" s="161">
        <v>32949</v>
      </c>
      <c r="I285" s="175">
        <v>34000</v>
      </c>
      <c r="J285" s="106">
        <f t="shared" si="19"/>
        <v>1.0318977814197698</v>
      </c>
      <c r="K285" s="133">
        <f t="shared" si="20"/>
        <v>0.0010279474003693078</v>
      </c>
    </row>
    <row r="286" spans="1:11" ht="12.75">
      <c r="A286" s="189">
        <f t="shared" si="21"/>
        <v>216</v>
      </c>
      <c r="B286" s="15"/>
      <c r="C286" s="127" t="s">
        <v>221</v>
      </c>
      <c r="D286" s="26"/>
      <c r="E286" s="48"/>
      <c r="F286" s="175">
        <v>15060</v>
      </c>
      <c r="G286" s="161">
        <f t="shared" si="18"/>
        <v>0</v>
      </c>
      <c r="H286" s="161">
        <v>15060</v>
      </c>
      <c r="I286" s="175">
        <v>0</v>
      </c>
      <c r="J286" s="106">
        <f t="shared" si="19"/>
        <v>0</v>
      </c>
      <c r="K286" s="133">
        <f t="shared" si="20"/>
        <v>0</v>
      </c>
    </row>
    <row r="287" spans="1:11" ht="12.75">
      <c r="A287" s="189">
        <f t="shared" si="21"/>
        <v>217</v>
      </c>
      <c r="B287" s="15"/>
      <c r="C287" s="127" t="s">
        <v>274</v>
      </c>
      <c r="D287" s="26"/>
      <c r="E287" s="48"/>
      <c r="F287" s="175">
        <v>2000</v>
      </c>
      <c r="G287" s="161"/>
      <c r="H287" s="161">
        <v>2000</v>
      </c>
      <c r="I287" s="175">
        <v>2000</v>
      </c>
      <c r="J287" s="106">
        <f t="shared" si="19"/>
        <v>1</v>
      </c>
      <c r="K287" s="133">
        <f t="shared" si="20"/>
        <v>6.0467494139371045E-05</v>
      </c>
    </row>
    <row r="288" spans="1:11" ht="12.75">
      <c r="A288" s="189">
        <f t="shared" si="21"/>
        <v>218</v>
      </c>
      <c r="B288" s="15"/>
      <c r="C288" s="127" t="s">
        <v>247</v>
      </c>
      <c r="D288" s="26"/>
      <c r="E288" s="48"/>
      <c r="F288" s="175">
        <v>8600</v>
      </c>
      <c r="G288" s="161"/>
      <c r="H288" s="161">
        <v>8600</v>
      </c>
      <c r="I288" s="175">
        <v>8760</v>
      </c>
      <c r="J288" s="106">
        <f>I288/H288</f>
        <v>1.0186046511627906</v>
      </c>
      <c r="K288" s="133">
        <f t="shared" si="20"/>
        <v>0.00026484762433044516</v>
      </c>
    </row>
    <row r="289" spans="1:11" ht="12.75">
      <c r="A289" s="189">
        <f t="shared" si="21"/>
        <v>219</v>
      </c>
      <c r="B289" s="15"/>
      <c r="C289" s="127" t="s">
        <v>437</v>
      </c>
      <c r="D289" s="26"/>
      <c r="E289" s="48"/>
      <c r="F289" s="175">
        <v>10000</v>
      </c>
      <c r="G289" s="161"/>
      <c r="H289" s="161">
        <v>10000</v>
      </c>
      <c r="I289" s="175">
        <v>0</v>
      </c>
      <c r="J289" s="106">
        <f>I289/H289</f>
        <v>0</v>
      </c>
      <c r="K289" s="133">
        <f t="shared" si="20"/>
        <v>0</v>
      </c>
    </row>
    <row r="290" spans="1:11" ht="12.75">
      <c r="A290" s="189">
        <f t="shared" si="21"/>
        <v>220</v>
      </c>
      <c r="B290" s="15">
        <v>4260</v>
      </c>
      <c r="C290" s="127" t="s">
        <v>165</v>
      </c>
      <c r="D290" s="26"/>
      <c r="E290" s="53">
        <f>SUM(E292:E293)</f>
        <v>13000</v>
      </c>
      <c r="F290" s="175">
        <f>SUM(F292:F294)</f>
        <v>13531</v>
      </c>
      <c r="G290" s="161">
        <f t="shared" si="18"/>
        <v>-0.17000000000007276</v>
      </c>
      <c r="H290" s="175">
        <f>SUM(H292:H294)</f>
        <v>13530.83</v>
      </c>
      <c r="I290" s="175">
        <f>SUM(I292:I294)</f>
        <v>14430</v>
      </c>
      <c r="J290" s="106">
        <f>I290/H290</f>
        <v>1.0664534252518139</v>
      </c>
      <c r="K290" s="133">
        <f t="shared" si="20"/>
        <v>0.0004362729702155621</v>
      </c>
    </row>
    <row r="291" spans="1:11" ht="12.75">
      <c r="A291" s="189">
        <f t="shared" si="21"/>
        <v>221</v>
      </c>
      <c r="B291" s="15"/>
      <c r="C291" s="127" t="s">
        <v>16</v>
      </c>
      <c r="D291" s="26"/>
      <c r="E291" s="48"/>
      <c r="F291" s="161"/>
      <c r="G291" s="161">
        <f t="shared" si="18"/>
        <v>0</v>
      </c>
      <c r="H291" s="161"/>
      <c r="I291" s="161"/>
      <c r="J291" s="106"/>
      <c r="K291" s="133"/>
    </row>
    <row r="292" spans="1:11" ht="12.75">
      <c r="A292" s="189">
        <f t="shared" si="21"/>
        <v>222</v>
      </c>
      <c r="B292" s="15"/>
      <c r="C292" s="127" t="s">
        <v>33</v>
      </c>
      <c r="D292" s="26"/>
      <c r="E292" s="48">
        <v>8000</v>
      </c>
      <c r="F292" s="161">
        <f>9450+300</f>
        <v>9750</v>
      </c>
      <c r="G292" s="161">
        <f t="shared" si="18"/>
        <v>0</v>
      </c>
      <c r="H292" s="161">
        <f>9450+300</f>
        <v>9750</v>
      </c>
      <c r="I292" s="161">
        <v>10000</v>
      </c>
      <c r="J292" s="106">
        <f>I292/H292</f>
        <v>1.0256410256410255</v>
      </c>
      <c r="K292" s="133">
        <f>I292/I$54</f>
        <v>0.0003023374706968552</v>
      </c>
    </row>
    <row r="293" spans="1:11" ht="12.75">
      <c r="A293" s="189">
        <f t="shared" si="21"/>
        <v>223</v>
      </c>
      <c r="B293" s="15"/>
      <c r="C293" s="127" t="s">
        <v>94</v>
      </c>
      <c r="D293" s="26"/>
      <c r="E293" s="48">
        <v>5000</v>
      </c>
      <c r="F293" s="161">
        <f>2430+1000</f>
        <v>3430</v>
      </c>
      <c r="G293" s="161">
        <f t="shared" si="18"/>
        <v>0</v>
      </c>
      <c r="H293" s="161">
        <f>2430+1000</f>
        <v>3430</v>
      </c>
      <c r="I293" s="161">
        <v>3430</v>
      </c>
      <c r="J293" s="106">
        <f>I293/H293</f>
        <v>1</v>
      </c>
      <c r="K293" s="133">
        <f>I293/I$54</f>
        <v>0.00010370175244902135</v>
      </c>
    </row>
    <row r="294" spans="1:11" ht="12.75">
      <c r="A294" s="189">
        <f t="shared" si="21"/>
        <v>224</v>
      </c>
      <c r="B294" s="15"/>
      <c r="C294" s="127" t="s">
        <v>438</v>
      </c>
      <c r="D294" s="26"/>
      <c r="E294" s="48"/>
      <c r="F294" s="161">
        <v>351</v>
      </c>
      <c r="G294" s="161">
        <f t="shared" si="18"/>
        <v>-0.17000000000001592</v>
      </c>
      <c r="H294" s="161">
        <v>350.83</v>
      </c>
      <c r="I294" s="161">
        <v>1000</v>
      </c>
      <c r="J294" s="106">
        <f>I294/H294</f>
        <v>2.850383376564148</v>
      </c>
      <c r="K294" s="133">
        <f>I294/I$54</f>
        <v>3.0233747069685523E-05</v>
      </c>
    </row>
    <row r="295" spans="1:11" ht="12.75">
      <c r="A295" s="189">
        <f t="shared" si="21"/>
        <v>225</v>
      </c>
      <c r="B295" s="15">
        <v>4270</v>
      </c>
      <c r="C295" s="127" t="s">
        <v>319</v>
      </c>
      <c r="D295" s="26"/>
      <c r="E295" s="48"/>
      <c r="F295" s="161"/>
      <c r="G295" s="161"/>
      <c r="H295" s="161"/>
      <c r="I295" s="161"/>
      <c r="J295" s="106"/>
      <c r="K295" s="133"/>
    </row>
    <row r="296" spans="1:11" ht="12.75">
      <c r="A296" s="189">
        <f t="shared" si="21"/>
        <v>226</v>
      </c>
      <c r="B296" s="15"/>
      <c r="C296" s="127" t="s">
        <v>320</v>
      </c>
      <c r="D296" s="26"/>
      <c r="E296" s="48"/>
      <c r="F296" s="161">
        <v>10938</v>
      </c>
      <c r="G296" s="161"/>
      <c r="H296" s="161">
        <v>10937.96</v>
      </c>
      <c r="I296" s="161">
        <v>0</v>
      </c>
      <c r="J296" s="106">
        <f>I296/H296</f>
        <v>0</v>
      </c>
      <c r="K296" s="133">
        <f>I296/I$54</f>
        <v>0</v>
      </c>
    </row>
    <row r="297" spans="1:11" ht="12.75">
      <c r="A297" s="189">
        <f t="shared" si="21"/>
        <v>227</v>
      </c>
      <c r="B297" s="15">
        <v>4280</v>
      </c>
      <c r="C297" s="127" t="s">
        <v>396</v>
      </c>
      <c r="D297" s="26"/>
      <c r="E297" s="48"/>
      <c r="F297" s="161">
        <v>1700</v>
      </c>
      <c r="G297" s="161"/>
      <c r="H297" s="161">
        <v>1700</v>
      </c>
      <c r="I297" s="161">
        <v>2000</v>
      </c>
      <c r="J297" s="106">
        <f>I297/H297</f>
        <v>1.1764705882352942</v>
      </c>
      <c r="K297" s="133">
        <f>I297/I$54</f>
        <v>6.0467494139371045E-05</v>
      </c>
    </row>
    <row r="298" spans="1:11" ht="12.75">
      <c r="A298" s="189">
        <f t="shared" si="21"/>
        <v>228</v>
      </c>
      <c r="B298" s="15">
        <v>4300</v>
      </c>
      <c r="C298" s="127" t="s">
        <v>160</v>
      </c>
      <c r="D298" s="26"/>
      <c r="E298" s="53">
        <f>SUM(E300:E338)</f>
        <v>381400</v>
      </c>
      <c r="F298" s="175">
        <f>SUM(F300:F341)</f>
        <v>580511</v>
      </c>
      <c r="G298" s="161">
        <f t="shared" si="18"/>
        <v>0</v>
      </c>
      <c r="H298" s="175">
        <f>SUM(H300:H341)</f>
        <v>580511</v>
      </c>
      <c r="I298" s="175">
        <f>SUM(I300:I341)</f>
        <v>515250</v>
      </c>
      <c r="J298" s="106">
        <f>I298/H298</f>
        <v>0.8875800803085557</v>
      </c>
      <c r="K298" s="133">
        <f>I298/I$54</f>
        <v>0.015577938177655466</v>
      </c>
    </row>
    <row r="299" spans="1:11" ht="12.75">
      <c r="A299" s="189">
        <f t="shared" si="21"/>
        <v>229</v>
      </c>
      <c r="B299" s="15"/>
      <c r="C299" s="127" t="s">
        <v>16</v>
      </c>
      <c r="D299" s="26"/>
      <c r="E299" s="48"/>
      <c r="F299" s="161"/>
      <c r="G299" s="161">
        <f t="shared" si="18"/>
        <v>0</v>
      </c>
      <c r="H299" s="161"/>
      <c r="I299" s="161"/>
      <c r="J299" s="106"/>
      <c r="K299" s="133"/>
    </row>
    <row r="300" spans="1:11" ht="12.75">
      <c r="A300" s="189">
        <f t="shared" si="21"/>
        <v>230</v>
      </c>
      <c r="B300" s="15"/>
      <c r="C300" s="127" t="s">
        <v>95</v>
      </c>
      <c r="D300" s="26"/>
      <c r="E300" s="48">
        <v>90000</v>
      </c>
      <c r="F300" s="161">
        <v>66750</v>
      </c>
      <c r="G300" s="161">
        <f t="shared" si="18"/>
        <v>0</v>
      </c>
      <c r="H300" s="161">
        <v>66750</v>
      </c>
      <c r="I300" s="161">
        <v>0</v>
      </c>
      <c r="J300" s="106">
        <f>I300/H300</f>
        <v>0</v>
      </c>
      <c r="K300" s="133">
        <f>I300/I$54</f>
        <v>0</v>
      </c>
    </row>
    <row r="301" spans="1:11" ht="12.75">
      <c r="A301" s="189">
        <f t="shared" si="21"/>
        <v>231</v>
      </c>
      <c r="B301" s="15"/>
      <c r="C301" s="127" t="s">
        <v>66</v>
      </c>
      <c r="D301" s="26"/>
      <c r="E301" s="48">
        <v>65000</v>
      </c>
      <c r="F301" s="161">
        <v>95660</v>
      </c>
      <c r="G301" s="161">
        <f t="shared" si="18"/>
        <v>0</v>
      </c>
      <c r="H301" s="161">
        <v>95660</v>
      </c>
      <c r="I301" s="161">
        <v>97000</v>
      </c>
      <c r="J301" s="106">
        <f>I301/H301</f>
        <v>1.014007944804516</v>
      </c>
      <c r="K301" s="133">
        <f>I301/I$54</f>
        <v>0.002932673465759496</v>
      </c>
    </row>
    <row r="302" spans="1:11" ht="12.75">
      <c r="A302" s="189">
        <f t="shared" si="21"/>
        <v>232</v>
      </c>
      <c r="B302" s="15"/>
      <c r="C302" s="127" t="s">
        <v>96</v>
      </c>
      <c r="D302" s="26"/>
      <c r="E302" s="48">
        <v>7000</v>
      </c>
      <c r="F302" s="161">
        <v>10150</v>
      </c>
      <c r="G302" s="161">
        <f t="shared" si="18"/>
        <v>0</v>
      </c>
      <c r="H302" s="161">
        <v>10150</v>
      </c>
      <c r="I302" s="161">
        <v>10150</v>
      </c>
      <c r="J302" s="106">
        <f>I302/H302</f>
        <v>1</v>
      </c>
      <c r="K302" s="133">
        <f>I302/I$54</f>
        <v>0.0003068725327573081</v>
      </c>
    </row>
    <row r="303" spans="1:11" ht="12.75">
      <c r="A303" s="189">
        <f t="shared" si="21"/>
        <v>233</v>
      </c>
      <c r="B303" s="15"/>
      <c r="C303" s="127" t="s">
        <v>596</v>
      </c>
      <c r="D303" s="26"/>
      <c r="E303" s="48">
        <f>12000+3000+20000+30000+4500+25000+5000+10000</f>
        <v>109500</v>
      </c>
      <c r="F303" s="161"/>
      <c r="G303" s="161">
        <f t="shared" si="18"/>
        <v>0</v>
      </c>
      <c r="H303" s="161"/>
      <c r="I303" s="161"/>
      <c r="J303" s="106"/>
      <c r="K303" s="133"/>
    </row>
    <row r="304" spans="1:11" ht="12.75">
      <c r="A304" s="189">
        <f t="shared" si="21"/>
        <v>234</v>
      </c>
      <c r="B304" s="15"/>
      <c r="C304" s="130" t="s">
        <v>589</v>
      </c>
      <c r="D304" s="26"/>
      <c r="E304" s="48"/>
      <c r="F304" s="161"/>
      <c r="G304" s="161"/>
      <c r="H304" s="161"/>
      <c r="I304" s="161"/>
      <c r="J304" s="106"/>
      <c r="K304" s="133"/>
    </row>
    <row r="305" spans="1:11" ht="12.75">
      <c r="A305" s="189">
        <f t="shared" si="21"/>
        <v>235</v>
      </c>
      <c r="B305" s="15"/>
      <c r="C305" s="130" t="s">
        <v>576</v>
      </c>
      <c r="D305" s="26"/>
      <c r="E305" s="48"/>
      <c r="F305" s="161"/>
      <c r="G305" s="161"/>
      <c r="H305" s="161"/>
      <c r="I305" s="161"/>
      <c r="J305" s="106"/>
      <c r="K305" s="133"/>
    </row>
    <row r="306" spans="1:11" ht="12.75">
      <c r="A306" s="189">
        <f t="shared" si="21"/>
        <v>236</v>
      </c>
      <c r="B306" s="15"/>
      <c r="C306" s="130" t="s">
        <v>577</v>
      </c>
      <c r="D306" s="26"/>
      <c r="E306" s="48"/>
      <c r="F306" s="161"/>
      <c r="G306" s="161"/>
      <c r="H306" s="161"/>
      <c r="I306" s="161"/>
      <c r="J306" s="106"/>
      <c r="K306" s="133"/>
    </row>
    <row r="307" spans="1:11" ht="12.75">
      <c r="A307" s="189">
        <f t="shared" si="21"/>
        <v>237</v>
      </c>
      <c r="B307" s="15"/>
      <c r="C307" s="130" t="s">
        <v>578</v>
      </c>
      <c r="D307" s="26"/>
      <c r="E307" s="48"/>
      <c r="F307" s="161"/>
      <c r="G307" s="161"/>
      <c r="H307" s="161"/>
      <c r="I307" s="161"/>
      <c r="J307" s="106"/>
      <c r="K307" s="133"/>
    </row>
    <row r="308" spans="1:11" ht="12.75">
      <c r="A308" s="189">
        <f t="shared" si="21"/>
        <v>238</v>
      </c>
      <c r="B308" s="15"/>
      <c r="C308" s="130" t="s">
        <v>579</v>
      </c>
      <c r="D308" s="26"/>
      <c r="E308" s="48"/>
      <c r="F308" s="161"/>
      <c r="G308" s="161"/>
      <c r="H308" s="161"/>
      <c r="I308" s="161"/>
      <c r="J308" s="106"/>
      <c r="K308" s="133"/>
    </row>
    <row r="309" spans="1:11" ht="12.75">
      <c r="A309" s="189">
        <f t="shared" si="21"/>
        <v>239</v>
      </c>
      <c r="B309" s="15"/>
      <c r="C309" s="130" t="s">
        <v>580</v>
      </c>
      <c r="D309" s="26"/>
      <c r="E309" s="48"/>
      <c r="F309" s="161"/>
      <c r="G309" s="161"/>
      <c r="H309" s="161"/>
      <c r="I309" s="161"/>
      <c r="J309" s="106"/>
      <c r="K309" s="133"/>
    </row>
    <row r="310" spans="1:11" ht="12.75">
      <c r="A310" s="189">
        <f t="shared" si="21"/>
        <v>240</v>
      </c>
      <c r="B310" s="15"/>
      <c r="C310" s="130" t="s">
        <v>581</v>
      </c>
      <c r="D310" s="26"/>
      <c r="E310" s="48"/>
      <c r="F310" s="161"/>
      <c r="G310" s="161"/>
      <c r="H310" s="161"/>
      <c r="I310" s="161"/>
      <c r="J310" s="106"/>
      <c r="K310" s="133"/>
    </row>
    <row r="311" spans="1:11" ht="12.75">
      <c r="A311" s="189">
        <f t="shared" si="21"/>
        <v>241</v>
      </c>
      <c r="B311" s="15"/>
      <c r="C311" s="130" t="s">
        <v>582</v>
      </c>
      <c r="D311" s="26"/>
      <c r="E311" s="48"/>
      <c r="F311" s="29"/>
      <c r="G311" s="161"/>
      <c r="H311" s="161"/>
      <c r="I311" s="161"/>
      <c r="J311" s="106"/>
      <c r="K311" s="133"/>
    </row>
    <row r="312" spans="1:11" ht="12.75">
      <c r="A312" s="189">
        <f t="shared" si="21"/>
        <v>242</v>
      </c>
      <c r="B312" s="15"/>
      <c r="C312" s="130" t="s">
        <v>583</v>
      </c>
      <c r="D312" s="26"/>
      <c r="E312" s="48"/>
      <c r="F312" s="29"/>
      <c r="G312" s="161"/>
      <c r="H312" s="161"/>
      <c r="I312" s="161"/>
      <c r="J312" s="106"/>
      <c r="K312" s="133"/>
    </row>
    <row r="313" spans="1:11" ht="12.75">
      <c r="A313" s="189">
        <f t="shared" si="21"/>
        <v>243</v>
      </c>
      <c r="B313" s="15"/>
      <c r="C313" s="130" t="s">
        <v>584</v>
      </c>
      <c r="D313" s="26"/>
      <c r="E313" s="48"/>
      <c r="F313" s="29"/>
      <c r="G313" s="161"/>
      <c r="H313" s="161"/>
      <c r="I313" s="161"/>
      <c r="J313" s="106"/>
      <c r="K313" s="133"/>
    </row>
    <row r="314" spans="1:11" ht="12.75">
      <c r="A314" s="189">
        <f t="shared" si="21"/>
        <v>244</v>
      </c>
      <c r="B314" s="15"/>
      <c r="C314" s="130" t="s">
        <v>585</v>
      </c>
      <c r="D314" s="26"/>
      <c r="E314" s="48"/>
      <c r="F314" s="29"/>
      <c r="G314" s="161"/>
      <c r="H314" s="161"/>
      <c r="I314" s="161"/>
      <c r="J314" s="106"/>
      <c r="K314" s="133"/>
    </row>
    <row r="315" spans="1:11" ht="12.75">
      <c r="A315" s="189">
        <f t="shared" si="21"/>
        <v>245</v>
      </c>
      <c r="B315" s="15"/>
      <c r="C315" s="130" t="s">
        <v>586</v>
      </c>
      <c r="D315" s="26"/>
      <c r="E315" s="48"/>
      <c r="F315" s="29"/>
      <c r="G315" s="161"/>
      <c r="H315" s="161"/>
      <c r="I315" s="161"/>
      <c r="J315" s="106"/>
      <c r="K315" s="133"/>
    </row>
    <row r="316" spans="1:11" ht="12.75">
      <c r="A316" s="189">
        <f t="shared" si="21"/>
        <v>246</v>
      </c>
      <c r="B316" s="15"/>
      <c r="C316" s="130" t="s">
        <v>587</v>
      </c>
      <c r="D316" s="26"/>
      <c r="E316" s="48"/>
      <c r="F316" s="29"/>
      <c r="G316" s="161"/>
      <c r="H316" s="161"/>
      <c r="I316" s="161"/>
      <c r="J316" s="106"/>
      <c r="K316" s="133"/>
    </row>
    <row r="317" spans="1:11" ht="12.75">
      <c r="A317" s="189">
        <f t="shared" si="21"/>
        <v>247</v>
      </c>
      <c r="B317" s="15"/>
      <c r="C317" s="130" t="s">
        <v>590</v>
      </c>
      <c r="D317" s="26"/>
      <c r="E317" s="48"/>
      <c r="F317" s="29"/>
      <c r="G317" s="161"/>
      <c r="H317" s="161"/>
      <c r="I317" s="161"/>
      <c r="J317" s="106"/>
      <c r="K317" s="133"/>
    </row>
    <row r="318" spans="1:11" ht="12.75">
      <c r="A318" s="189">
        <f t="shared" si="21"/>
        <v>248</v>
      </c>
      <c r="B318" s="15"/>
      <c r="C318" s="130" t="s">
        <v>588</v>
      </c>
      <c r="D318" s="26"/>
      <c r="E318" s="48"/>
      <c r="F318" s="29"/>
      <c r="G318" s="161"/>
      <c r="H318" s="161"/>
      <c r="I318" s="161"/>
      <c r="J318" s="106"/>
      <c r="K318" s="133"/>
    </row>
    <row r="319" spans="1:11" ht="12.75">
      <c r="A319" s="189">
        <f t="shared" si="21"/>
        <v>249</v>
      </c>
      <c r="B319" s="15"/>
      <c r="C319" s="130" t="s">
        <v>591</v>
      </c>
      <c r="D319" s="26"/>
      <c r="E319" s="48"/>
      <c r="F319" s="29"/>
      <c r="G319" s="161"/>
      <c r="H319" s="161"/>
      <c r="I319" s="161"/>
      <c r="J319" s="106"/>
      <c r="K319" s="133"/>
    </row>
    <row r="320" spans="1:11" ht="12.75">
      <c r="A320" s="189">
        <f t="shared" si="21"/>
        <v>250</v>
      </c>
      <c r="B320" s="15"/>
      <c r="C320" s="130" t="s">
        <v>592</v>
      </c>
      <c r="D320" s="26"/>
      <c r="E320" s="48"/>
      <c r="F320" s="29"/>
      <c r="G320" s="161"/>
      <c r="H320" s="161"/>
      <c r="I320" s="161"/>
      <c r="J320" s="106"/>
      <c r="K320" s="133"/>
    </row>
    <row r="321" spans="1:11" ht="12.75">
      <c r="A321" s="189">
        <f t="shared" si="21"/>
        <v>251</v>
      </c>
      <c r="B321" s="15"/>
      <c r="C321" s="130" t="s">
        <v>593</v>
      </c>
      <c r="D321" s="26"/>
      <c r="E321" s="48"/>
      <c r="F321" s="29"/>
      <c r="G321" s="161"/>
      <c r="H321" s="161"/>
      <c r="I321" s="161"/>
      <c r="J321" s="106"/>
      <c r="K321" s="133"/>
    </row>
    <row r="322" spans="1:11" ht="12.75">
      <c r="A322" s="189">
        <f t="shared" si="21"/>
        <v>252</v>
      </c>
      <c r="B322" s="15"/>
      <c r="C322" s="130" t="s">
        <v>594</v>
      </c>
      <c r="D322" s="26"/>
      <c r="E322" s="48"/>
      <c r="F322" s="29"/>
      <c r="G322" s="161"/>
      <c r="H322" s="161"/>
      <c r="I322" s="161"/>
      <c r="J322" s="106"/>
      <c r="K322" s="133"/>
    </row>
    <row r="323" spans="1:11" ht="12.75">
      <c r="A323" s="189">
        <f t="shared" si="21"/>
        <v>253</v>
      </c>
      <c r="B323" s="15"/>
      <c r="C323" s="233" t="s">
        <v>595</v>
      </c>
      <c r="D323" s="26"/>
      <c r="E323" s="48"/>
      <c r="F323" s="29">
        <v>239199</v>
      </c>
      <c r="G323" s="161"/>
      <c r="H323" s="161">
        <v>239199</v>
      </c>
      <c r="I323" s="161">
        <f>151000+99000</f>
        <v>250000</v>
      </c>
      <c r="J323" s="106">
        <f aca="true" t="shared" si="22" ref="J323:J341">I323/H323</f>
        <v>1.045154871048792</v>
      </c>
      <c r="K323" s="133">
        <f aca="true" t="shared" si="23" ref="K323:K347">I323/I$54</f>
        <v>0.007558436767421381</v>
      </c>
    </row>
    <row r="324" spans="1:11" s="239" customFormat="1" ht="12.75">
      <c r="A324" s="6">
        <f t="shared" si="21"/>
        <v>254</v>
      </c>
      <c r="B324" s="234"/>
      <c r="C324" s="234" t="s">
        <v>597</v>
      </c>
      <c r="D324" s="235"/>
      <c r="E324" s="236"/>
      <c r="F324" s="237"/>
      <c r="G324" s="237"/>
      <c r="H324" s="237"/>
      <c r="I324" s="237"/>
      <c r="J324" s="238"/>
      <c r="K324" s="238"/>
    </row>
    <row r="325" spans="1:11" s="239" customFormat="1" ht="12.75">
      <c r="A325" s="240">
        <f t="shared" si="21"/>
        <v>255</v>
      </c>
      <c r="B325" s="241"/>
      <c r="C325" s="241" t="s">
        <v>598</v>
      </c>
      <c r="D325" s="235"/>
      <c r="E325" s="236"/>
      <c r="F325" s="237"/>
      <c r="G325" s="237"/>
      <c r="H325" s="237"/>
      <c r="I325" s="237"/>
      <c r="J325" s="238"/>
      <c r="K325" s="238"/>
    </row>
    <row r="326" spans="1:11" s="239" customFormat="1" ht="12.75">
      <c r="A326" s="240">
        <f t="shared" si="21"/>
        <v>256</v>
      </c>
      <c r="B326" s="241"/>
      <c r="C326" s="241" t="s">
        <v>599</v>
      </c>
      <c r="D326" s="235"/>
      <c r="E326" s="236"/>
      <c r="F326" s="237">
        <v>0</v>
      </c>
      <c r="G326" s="237"/>
      <c r="H326" s="237">
        <v>0</v>
      </c>
      <c r="I326" s="237">
        <v>23000</v>
      </c>
      <c r="J326" s="238"/>
      <c r="K326" s="133">
        <f t="shared" si="23"/>
        <v>0.000695376182602767</v>
      </c>
    </row>
    <row r="327" spans="1:11" ht="12.75">
      <c r="A327" s="189">
        <f>A323+1</f>
        <v>254</v>
      </c>
      <c r="B327" s="15"/>
      <c r="C327" s="127" t="s">
        <v>92</v>
      </c>
      <c r="D327" s="26"/>
      <c r="E327" s="48">
        <v>3600</v>
      </c>
      <c r="F327" s="161">
        <v>1100</v>
      </c>
      <c r="G327" s="161">
        <f t="shared" si="18"/>
        <v>0</v>
      </c>
      <c r="H327" s="161">
        <v>1100</v>
      </c>
      <c r="I327" s="161">
        <v>1100</v>
      </c>
      <c r="J327" s="106">
        <f t="shared" si="22"/>
        <v>1</v>
      </c>
      <c r="K327" s="133">
        <f t="shared" si="23"/>
        <v>3.325712177665407E-05</v>
      </c>
    </row>
    <row r="328" spans="1:11" ht="12.75">
      <c r="A328" s="189">
        <f t="shared" si="21"/>
        <v>255</v>
      </c>
      <c r="B328" s="15"/>
      <c r="C328" s="127" t="s">
        <v>255</v>
      </c>
      <c r="D328" s="26"/>
      <c r="E328" s="48"/>
      <c r="F328" s="161">
        <v>34022</v>
      </c>
      <c r="G328" s="161"/>
      <c r="H328" s="161">
        <v>34022</v>
      </c>
      <c r="I328" s="161">
        <v>0</v>
      </c>
      <c r="J328" s="106">
        <f t="shared" si="22"/>
        <v>0</v>
      </c>
      <c r="K328" s="133">
        <f t="shared" si="23"/>
        <v>0</v>
      </c>
    </row>
    <row r="329" spans="1:11" ht="12.75">
      <c r="A329" s="189">
        <f t="shared" si="21"/>
        <v>256</v>
      </c>
      <c r="B329" s="15"/>
      <c r="C329" s="127" t="s">
        <v>20</v>
      </c>
      <c r="D329" s="26"/>
      <c r="E329" s="48">
        <v>40000</v>
      </c>
      <c r="F329" s="161">
        <v>8262</v>
      </c>
      <c r="G329" s="161">
        <f t="shared" si="18"/>
        <v>0</v>
      </c>
      <c r="H329" s="161">
        <v>8262</v>
      </c>
      <c r="I329" s="161">
        <v>8500</v>
      </c>
      <c r="J329" s="106">
        <f t="shared" si="22"/>
        <v>1.02880658436214</v>
      </c>
      <c r="K329" s="133">
        <f t="shared" si="23"/>
        <v>0.00025698685009232694</v>
      </c>
    </row>
    <row r="330" spans="1:11" ht="12.75">
      <c r="A330" s="189">
        <f t="shared" si="21"/>
        <v>257</v>
      </c>
      <c r="B330" s="15"/>
      <c r="C330" s="127" t="s">
        <v>97</v>
      </c>
      <c r="D330" s="26"/>
      <c r="E330" s="48">
        <v>1500</v>
      </c>
      <c r="F330" s="161">
        <v>1100</v>
      </c>
      <c r="G330" s="161">
        <f t="shared" si="18"/>
        <v>0</v>
      </c>
      <c r="H330" s="161">
        <v>1100</v>
      </c>
      <c r="I330" s="161">
        <v>1100</v>
      </c>
      <c r="J330" s="106">
        <f t="shared" si="22"/>
        <v>1</v>
      </c>
      <c r="K330" s="133">
        <f t="shared" si="23"/>
        <v>3.325712177665407E-05</v>
      </c>
    </row>
    <row r="331" spans="1:11" ht="12.75">
      <c r="A331" s="189">
        <f t="shared" si="21"/>
        <v>258</v>
      </c>
      <c r="B331" s="15"/>
      <c r="C331" s="127" t="s">
        <v>98</v>
      </c>
      <c r="D331" s="26"/>
      <c r="E331" s="48">
        <v>6200</v>
      </c>
      <c r="F331" s="161">
        <v>8500</v>
      </c>
      <c r="G331" s="161">
        <f t="shared" si="18"/>
        <v>0</v>
      </c>
      <c r="H331" s="161">
        <v>8500</v>
      </c>
      <c r="I331" s="161">
        <v>8500</v>
      </c>
      <c r="J331" s="106">
        <f t="shared" si="22"/>
        <v>1</v>
      </c>
      <c r="K331" s="133">
        <f t="shared" si="23"/>
        <v>0.00025698685009232694</v>
      </c>
    </row>
    <row r="332" spans="1:11" ht="12.75">
      <c r="A332" s="189">
        <f t="shared" si="21"/>
        <v>259</v>
      </c>
      <c r="B332" s="15"/>
      <c r="C332" s="127" t="s">
        <v>99</v>
      </c>
      <c r="D332" s="26"/>
      <c r="E332" s="48">
        <v>16000</v>
      </c>
      <c r="F332" s="161">
        <v>15400</v>
      </c>
      <c r="G332" s="161">
        <f t="shared" si="18"/>
        <v>0</v>
      </c>
      <c r="H332" s="161">
        <v>15400</v>
      </c>
      <c r="I332" s="161">
        <v>16000</v>
      </c>
      <c r="J332" s="106">
        <f t="shared" si="22"/>
        <v>1.0389610389610389</v>
      </c>
      <c r="K332" s="133">
        <f t="shared" si="23"/>
        <v>0.00048373995311496836</v>
      </c>
    </row>
    <row r="333" spans="1:11" ht="12.75">
      <c r="A333" s="189">
        <f t="shared" si="21"/>
        <v>260</v>
      </c>
      <c r="B333" s="15"/>
      <c r="C333" s="127" t="s">
        <v>56</v>
      </c>
      <c r="D333" s="26"/>
      <c r="E333" s="48">
        <v>18000</v>
      </c>
      <c r="F333" s="161">
        <v>31000</v>
      </c>
      <c r="G333" s="161">
        <f t="shared" si="18"/>
        <v>0</v>
      </c>
      <c r="H333" s="161">
        <v>31000</v>
      </c>
      <c r="I333" s="161">
        <v>0</v>
      </c>
      <c r="J333" s="106">
        <f t="shared" si="22"/>
        <v>0</v>
      </c>
      <c r="K333" s="133">
        <f t="shared" si="23"/>
        <v>0</v>
      </c>
    </row>
    <row r="334" spans="1:11" ht="12.75">
      <c r="A334" s="189">
        <f t="shared" si="21"/>
        <v>261</v>
      </c>
      <c r="B334" s="15"/>
      <c r="C334" s="127" t="s">
        <v>100</v>
      </c>
      <c r="D334" s="26"/>
      <c r="E334" s="48">
        <v>7000</v>
      </c>
      <c r="F334" s="161">
        <v>6000</v>
      </c>
      <c r="G334" s="161">
        <f t="shared" si="18"/>
        <v>0</v>
      </c>
      <c r="H334" s="161">
        <v>6000</v>
      </c>
      <c r="I334" s="161">
        <v>6100</v>
      </c>
      <c r="J334" s="106">
        <f t="shared" si="22"/>
        <v>1.0166666666666666</v>
      </c>
      <c r="K334" s="133">
        <f t="shared" si="23"/>
        <v>0.00018442585712508168</v>
      </c>
    </row>
    <row r="335" spans="1:11" ht="12.75">
      <c r="A335" s="189">
        <f t="shared" si="21"/>
        <v>262</v>
      </c>
      <c r="B335" s="15"/>
      <c r="C335" s="127" t="s">
        <v>182</v>
      </c>
      <c r="D335" s="26"/>
      <c r="E335" s="48">
        <v>1000</v>
      </c>
      <c r="F335" s="161">
        <f>33000-10312</f>
        <v>22688</v>
      </c>
      <c r="G335" s="161">
        <f t="shared" si="18"/>
        <v>0</v>
      </c>
      <c r="H335" s="161">
        <v>22688</v>
      </c>
      <c r="I335" s="161">
        <v>23000</v>
      </c>
      <c r="J335" s="106">
        <f t="shared" si="22"/>
        <v>1.0137517630465445</v>
      </c>
      <c r="K335" s="133">
        <f t="shared" si="23"/>
        <v>0.000695376182602767</v>
      </c>
    </row>
    <row r="336" spans="1:11" ht="12.75">
      <c r="A336" s="189">
        <f t="shared" si="21"/>
        <v>263</v>
      </c>
      <c r="B336" s="15"/>
      <c r="C336" s="127" t="s">
        <v>91</v>
      </c>
      <c r="D336" s="26"/>
      <c r="E336" s="48">
        <v>10000</v>
      </c>
      <c r="F336" s="161">
        <v>8600</v>
      </c>
      <c r="G336" s="161">
        <f t="shared" si="18"/>
        <v>0</v>
      </c>
      <c r="H336" s="161">
        <v>8600</v>
      </c>
      <c r="I336" s="161">
        <v>8600</v>
      </c>
      <c r="J336" s="106">
        <f t="shared" si="22"/>
        <v>1</v>
      </c>
      <c r="K336" s="133">
        <f t="shared" si="23"/>
        <v>0.00026001022479929547</v>
      </c>
    </row>
    <row r="337" spans="1:11" ht="12.75">
      <c r="A337" s="189">
        <f t="shared" si="21"/>
        <v>264</v>
      </c>
      <c r="B337" s="15"/>
      <c r="C337" s="127" t="s">
        <v>101</v>
      </c>
      <c r="D337" s="26"/>
      <c r="E337" s="48">
        <v>1800</v>
      </c>
      <c r="F337" s="161">
        <v>3600</v>
      </c>
      <c r="G337" s="161">
        <f t="shared" si="18"/>
        <v>0</v>
      </c>
      <c r="H337" s="161">
        <v>3600</v>
      </c>
      <c r="I337" s="161">
        <v>4800</v>
      </c>
      <c r="J337" s="106">
        <f>I337/H337</f>
        <v>1.3333333333333333</v>
      </c>
      <c r="K337" s="133">
        <f>I337/I$54</f>
        <v>0.0001451219859344905</v>
      </c>
    </row>
    <row r="338" spans="1:11" ht="12.75">
      <c r="A338" s="189">
        <f t="shared" si="21"/>
        <v>265</v>
      </c>
      <c r="B338" s="15"/>
      <c r="C338" s="127" t="s">
        <v>248</v>
      </c>
      <c r="D338" s="26"/>
      <c r="E338" s="48">
        <v>4800</v>
      </c>
      <c r="F338" s="161">
        <v>6280</v>
      </c>
      <c r="G338" s="161">
        <f t="shared" si="18"/>
        <v>0</v>
      </c>
      <c r="H338" s="161">
        <v>6280</v>
      </c>
      <c r="I338" s="161">
        <v>5200</v>
      </c>
      <c r="J338" s="106">
        <f>I338/H338</f>
        <v>0.8280254777070064</v>
      </c>
      <c r="K338" s="133">
        <f>I338/I$54</f>
        <v>0.0001572154847623647</v>
      </c>
    </row>
    <row r="339" spans="1:11" ht="12.75">
      <c r="A339" s="189">
        <f t="shared" si="21"/>
        <v>266</v>
      </c>
      <c r="B339" s="15"/>
      <c r="C339" s="127" t="s">
        <v>399</v>
      </c>
      <c r="D339" s="26"/>
      <c r="E339" s="48"/>
      <c r="F339" s="161">
        <v>20008</v>
      </c>
      <c r="G339" s="161"/>
      <c r="H339" s="161">
        <v>20008</v>
      </c>
      <c r="I339" s="161">
        <v>0</v>
      </c>
      <c r="J339" s="106">
        <f>I339/H339</f>
        <v>0</v>
      </c>
      <c r="K339" s="133">
        <f>I339/I$54</f>
        <v>0</v>
      </c>
    </row>
    <row r="340" spans="1:11" ht="12.75">
      <c r="A340" s="189">
        <f t="shared" si="21"/>
        <v>267</v>
      </c>
      <c r="B340" s="15"/>
      <c r="C340" s="130" t="s">
        <v>521</v>
      </c>
      <c r="D340" s="26"/>
      <c r="E340" s="48"/>
      <c r="F340" s="161">
        <v>0</v>
      </c>
      <c r="G340" s="161"/>
      <c r="H340" s="161">
        <v>0</v>
      </c>
      <c r="I340" s="161">
        <v>50000</v>
      </c>
      <c r="J340" s="106"/>
      <c r="K340" s="133">
        <f>I340/I$54</f>
        <v>0.0015116873534842762</v>
      </c>
    </row>
    <row r="341" spans="1:11" ht="12.75">
      <c r="A341" s="189">
        <f t="shared" si="21"/>
        <v>268</v>
      </c>
      <c r="B341" s="15"/>
      <c r="C341" s="127" t="s">
        <v>249</v>
      </c>
      <c r="D341" s="26"/>
      <c r="E341" s="48"/>
      <c r="F341" s="161">
        <v>2192</v>
      </c>
      <c r="G341" s="161"/>
      <c r="H341" s="161">
        <v>2192</v>
      </c>
      <c r="I341" s="161">
        <v>2200</v>
      </c>
      <c r="J341" s="106">
        <f t="shared" si="22"/>
        <v>1.0036496350364963</v>
      </c>
      <c r="K341" s="133">
        <f t="shared" si="23"/>
        <v>6.651424355330814E-05</v>
      </c>
    </row>
    <row r="342" spans="1:11" ht="12.75">
      <c r="A342" s="189">
        <f t="shared" si="21"/>
        <v>269</v>
      </c>
      <c r="B342" s="15">
        <v>4350</v>
      </c>
      <c r="C342" s="127" t="s">
        <v>493</v>
      </c>
      <c r="D342" s="26"/>
      <c r="E342" s="48"/>
      <c r="F342" s="161">
        <v>3800</v>
      </c>
      <c r="G342" s="161"/>
      <c r="H342" s="161">
        <v>3800</v>
      </c>
      <c r="I342" s="161">
        <v>4470</v>
      </c>
      <c r="J342" s="106">
        <f>I342/H342</f>
        <v>1.1763157894736842</v>
      </c>
      <c r="K342" s="133">
        <f t="shared" si="23"/>
        <v>0.00013514484940149428</v>
      </c>
    </row>
    <row r="343" spans="1:11" ht="12.75">
      <c r="A343" s="189">
        <f t="shared" si="21"/>
        <v>270</v>
      </c>
      <c r="B343" s="15">
        <v>4360</v>
      </c>
      <c r="C343" s="127" t="s">
        <v>474</v>
      </c>
      <c r="D343" s="26"/>
      <c r="E343" s="48"/>
      <c r="F343" s="161"/>
      <c r="G343" s="161"/>
      <c r="H343" s="161"/>
      <c r="I343" s="161"/>
      <c r="J343" s="106"/>
      <c r="K343" s="133"/>
    </row>
    <row r="344" spans="1:11" ht="12.75">
      <c r="A344" s="189">
        <f t="shared" si="21"/>
        <v>271</v>
      </c>
      <c r="B344" s="15"/>
      <c r="C344" s="127" t="s">
        <v>439</v>
      </c>
      <c r="D344" s="26"/>
      <c r="E344" s="48"/>
      <c r="F344" s="161">
        <v>0</v>
      </c>
      <c r="G344" s="161"/>
      <c r="H344" s="161">
        <v>0</v>
      </c>
      <c r="I344" s="161">
        <f>28000-14000</f>
        <v>14000</v>
      </c>
      <c r="J344" s="106"/>
      <c r="K344" s="133">
        <f t="shared" si="23"/>
        <v>0.0004232724589755973</v>
      </c>
    </row>
    <row r="345" spans="1:11" ht="12.75">
      <c r="A345" s="189">
        <f t="shared" si="21"/>
        <v>272</v>
      </c>
      <c r="B345" s="15">
        <v>4370</v>
      </c>
      <c r="C345" s="127" t="s">
        <v>474</v>
      </c>
      <c r="D345" s="26"/>
      <c r="E345" s="48"/>
      <c r="F345" s="161"/>
      <c r="G345" s="161"/>
      <c r="H345" s="161"/>
      <c r="I345" s="161"/>
      <c r="J345" s="106"/>
      <c r="K345" s="133"/>
    </row>
    <row r="346" spans="1:11" ht="12.75">
      <c r="A346" s="189">
        <f t="shared" si="21"/>
        <v>273</v>
      </c>
      <c r="B346" s="15"/>
      <c r="C346" s="127" t="s">
        <v>440</v>
      </c>
      <c r="D346" s="26"/>
      <c r="E346" s="48"/>
      <c r="F346" s="161">
        <v>0</v>
      </c>
      <c r="G346" s="161"/>
      <c r="H346" s="161">
        <v>0</v>
      </c>
      <c r="I346" s="161">
        <v>40000</v>
      </c>
      <c r="J346" s="106"/>
      <c r="K346" s="133">
        <f t="shared" si="23"/>
        <v>0.0012093498827874208</v>
      </c>
    </row>
    <row r="347" spans="1:11" ht="12.75">
      <c r="A347" s="189">
        <f t="shared" si="21"/>
        <v>274</v>
      </c>
      <c r="B347" s="15">
        <v>4410</v>
      </c>
      <c r="C347" s="127" t="s">
        <v>74</v>
      </c>
      <c r="D347" s="26"/>
      <c r="E347" s="53">
        <f>SUM(E349:E351)</f>
        <v>32700</v>
      </c>
      <c r="F347" s="175">
        <f>SUM(F349:F351)</f>
        <v>37700</v>
      </c>
      <c r="G347" s="161">
        <f aca="true" t="shared" si="24" ref="G347:G356">H347-F347</f>
        <v>0</v>
      </c>
      <c r="H347" s="175">
        <f>SUM(H349:H351)</f>
        <v>37700</v>
      </c>
      <c r="I347" s="175">
        <f>SUM(I349:I351)</f>
        <v>37700</v>
      </c>
      <c r="J347" s="106">
        <f>I347/H347</f>
        <v>1</v>
      </c>
      <c r="K347" s="133">
        <f t="shared" si="23"/>
        <v>0.0011398122645271441</v>
      </c>
    </row>
    <row r="348" spans="1:11" ht="12.75">
      <c r="A348" s="189">
        <f t="shared" si="21"/>
        <v>275</v>
      </c>
      <c r="B348" s="15"/>
      <c r="C348" s="127" t="s">
        <v>16</v>
      </c>
      <c r="D348" s="26"/>
      <c r="E348" s="48"/>
      <c r="F348" s="161"/>
      <c r="G348" s="161">
        <f t="shared" si="24"/>
        <v>0</v>
      </c>
      <c r="H348" s="161"/>
      <c r="I348" s="161"/>
      <c r="J348" s="106"/>
      <c r="K348" s="133"/>
    </row>
    <row r="349" spans="1:11" ht="12.75">
      <c r="A349" s="189">
        <f t="shared" si="21"/>
        <v>276</v>
      </c>
      <c r="B349" s="15"/>
      <c r="C349" s="127" t="s">
        <v>64</v>
      </c>
      <c r="D349" s="26"/>
      <c r="E349" s="48">
        <v>6500</v>
      </c>
      <c r="F349" s="161">
        <v>7000</v>
      </c>
      <c r="G349" s="161">
        <f t="shared" si="24"/>
        <v>0</v>
      </c>
      <c r="H349" s="161">
        <v>7000</v>
      </c>
      <c r="I349" s="161">
        <v>7000</v>
      </c>
      <c r="J349" s="106">
        <f>I349/H349</f>
        <v>1</v>
      </c>
      <c r="K349" s="133">
        <f>I349/I$54</f>
        <v>0.00021163622948779866</v>
      </c>
    </row>
    <row r="350" spans="1:11" ht="12.75">
      <c r="A350" s="189">
        <f t="shared" si="21"/>
        <v>277</v>
      </c>
      <c r="B350" s="15"/>
      <c r="C350" s="127" t="s">
        <v>84</v>
      </c>
      <c r="D350" s="26"/>
      <c r="E350" s="48">
        <v>10000</v>
      </c>
      <c r="F350" s="161">
        <v>7700</v>
      </c>
      <c r="G350" s="161">
        <f t="shared" si="24"/>
        <v>0</v>
      </c>
      <c r="H350" s="161">
        <v>7700</v>
      </c>
      <c r="I350" s="161">
        <v>7700</v>
      </c>
      <c r="J350" s="106">
        <f>I350/H350</f>
        <v>1</v>
      </c>
      <c r="K350" s="133">
        <f>I350/I$54</f>
        <v>0.00023279985243657852</v>
      </c>
    </row>
    <row r="351" spans="1:11" ht="12.75">
      <c r="A351" s="189">
        <f t="shared" si="21"/>
        <v>278</v>
      </c>
      <c r="B351" s="15"/>
      <c r="C351" s="127" t="s">
        <v>65</v>
      </c>
      <c r="D351" s="26"/>
      <c r="E351" s="48">
        <v>16200</v>
      </c>
      <c r="F351" s="161">
        <v>23000</v>
      </c>
      <c r="G351" s="161">
        <f t="shared" si="24"/>
        <v>0</v>
      </c>
      <c r="H351" s="161">
        <v>23000</v>
      </c>
      <c r="I351" s="161">
        <v>23000</v>
      </c>
      <c r="J351" s="106">
        <f>I351/H351</f>
        <v>1</v>
      </c>
      <c r="K351" s="133">
        <f>I351/I$54</f>
        <v>0.000695376182602767</v>
      </c>
    </row>
    <row r="352" spans="1:11" ht="12.75">
      <c r="A352" s="189">
        <f t="shared" si="21"/>
        <v>279</v>
      </c>
      <c r="B352" s="15">
        <v>4420</v>
      </c>
      <c r="C352" s="127" t="s">
        <v>85</v>
      </c>
      <c r="D352" s="26"/>
      <c r="E352" s="48">
        <v>1600</v>
      </c>
      <c r="F352" s="161">
        <v>1600</v>
      </c>
      <c r="G352" s="161">
        <f t="shared" si="24"/>
        <v>-1600</v>
      </c>
      <c r="H352" s="161">
        <v>0</v>
      </c>
      <c r="I352" s="161">
        <v>1600</v>
      </c>
      <c r="J352" s="106"/>
      <c r="K352" s="133">
        <f>I352/I$54</f>
        <v>4.8373995311496835E-05</v>
      </c>
    </row>
    <row r="353" spans="1:11" ht="12.75">
      <c r="A353" s="189">
        <f t="shared" si="21"/>
        <v>280</v>
      </c>
      <c r="B353" s="15">
        <v>4430</v>
      </c>
      <c r="C353" s="127" t="s">
        <v>102</v>
      </c>
      <c r="D353" s="26"/>
      <c r="E353" s="47">
        <f>SUM(E355:E356)</f>
        <v>5100</v>
      </c>
      <c r="F353" s="29">
        <f>SUM(F355:F357)</f>
        <v>18259</v>
      </c>
      <c r="G353" s="161">
        <f t="shared" si="24"/>
        <v>0</v>
      </c>
      <c r="H353" s="29">
        <f>SUM(H355:H357)</f>
        <v>18259</v>
      </c>
      <c r="I353" s="29">
        <f>SUM(I355:I357)</f>
        <v>20200</v>
      </c>
      <c r="J353" s="106">
        <f>I353/H353</f>
        <v>1.1063037406210636</v>
      </c>
      <c r="K353" s="133">
        <f>I353/I$54</f>
        <v>0.0006107216908076476</v>
      </c>
    </row>
    <row r="354" spans="1:11" ht="12.75">
      <c r="A354" s="189">
        <f t="shared" si="21"/>
        <v>281</v>
      </c>
      <c r="B354" s="15"/>
      <c r="C354" s="127" t="s">
        <v>16</v>
      </c>
      <c r="D354" s="26"/>
      <c r="E354" s="48"/>
      <c r="F354" s="161"/>
      <c r="G354" s="161">
        <f t="shared" si="24"/>
        <v>0</v>
      </c>
      <c r="H354" s="161"/>
      <c r="I354" s="161"/>
      <c r="J354" s="106"/>
      <c r="K354" s="133"/>
    </row>
    <row r="355" spans="1:11" ht="12.75">
      <c r="A355" s="189">
        <f t="shared" si="21"/>
        <v>282</v>
      </c>
      <c r="B355" s="15"/>
      <c r="C355" s="127" t="s">
        <v>103</v>
      </c>
      <c r="D355" s="26"/>
      <c r="E355" s="48">
        <v>5100</v>
      </c>
      <c r="F355" s="161">
        <v>14000</v>
      </c>
      <c r="G355" s="161">
        <f t="shared" si="24"/>
        <v>0</v>
      </c>
      <c r="H355" s="161">
        <v>14000</v>
      </c>
      <c r="I355" s="161">
        <v>14200</v>
      </c>
      <c r="J355" s="106">
        <f>I355/H355</f>
        <v>1.0142857142857142</v>
      </c>
      <c r="K355" s="133">
        <f>I355/I$54</f>
        <v>0.0004293192083895344</v>
      </c>
    </row>
    <row r="356" spans="1:11" ht="12.75">
      <c r="A356" s="189">
        <f t="shared" si="21"/>
        <v>283</v>
      </c>
      <c r="B356" s="15"/>
      <c r="C356" s="127" t="s">
        <v>202</v>
      </c>
      <c r="D356" s="26"/>
      <c r="E356" s="48">
        <v>0</v>
      </c>
      <c r="F356" s="161">
        <f>1000+2000</f>
        <v>3000</v>
      </c>
      <c r="G356" s="161">
        <f t="shared" si="24"/>
        <v>0</v>
      </c>
      <c r="H356" s="161">
        <f>1000+2000</f>
        <v>3000</v>
      </c>
      <c r="I356" s="161">
        <v>3000</v>
      </c>
      <c r="J356" s="106">
        <f>I356/H356</f>
        <v>1</v>
      </c>
      <c r="K356" s="133">
        <f>I356/I$54</f>
        <v>9.070124120905656E-05</v>
      </c>
    </row>
    <row r="357" spans="1:11" ht="12.75">
      <c r="A357" s="189">
        <f t="shared" si="21"/>
        <v>284</v>
      </c>
      <c r="B357" s="15"/>
      <c r="C357" s="127" t="s">
        <v>441</v>
      </c>
      <c r="D357" s="26"/>
      <c r="E357" s="48"/>
      <c r="F357" s="161">
        <v>1259</v>
      </c>
      <c r="G357" s="161"/>
      <c r="H357" s="161">
        <v>1259</v>
      </c>
      <c r="I357" s="161">
        <v>3000</v>
      </c>
      <c r="J357" s="106"/>
      <c r="K357" s="133"/>
    </row>
    <row r="358" spans="1:11" ht="12.75">
      <c r="A358" s="189">
        <f t="shared" si="21"/>
        <v>285</v>
      </c>
      <c r="B358" s="15">
        <v>4440</v>
      </c>
      <c r="C358" s="127" t="s">
        <v>104</v>
      </c>
      <c r="D358" s="26"/>
      <c r="E358" s="48">
        <v>17500</v>
      </c>
      <c r="F358" s="161">
        <v>25220</v>
      </c>
      <c r="G358" s="161">
        <f>H358-F358</f>
        <v>0</v>
      </c>
      <c r="H358" s="161">
        <v>25220</v>
      </c>
      <c r="I358" s="161">
        <v>25700</v>
      </c>
      <c r="J358" s="106">
        <f>I358/H358</f>
        <v>1.0190325138778746</v>
      </c>
      <c r="K358" s="133">
        <f>I358/I$54</f>
        <v>0.0007770072996909179</v>
      </c>
    </row>
    <row r="359" spans="1:11" ht="12.75">
      <c r="A359" s="189">
        <f t="shared" si="21"/>
        <v>286</v>
      </c>
      <c r="B359" s="15">
        <v>4530</v>
      </c>
      <c r="C359" s="127" t="s">
        <v>442</v>
      </c>
      <c r="D359" s="26"/>
      <c r="E359" s="48"/>
      <c r="F359" s="161">
        <v>12</v>
      </c>
      <c r="G359" s="161">
        <f>H359-F359</f>
        <v>0</v>
      </c>
      <c r="H359" s="161">
        <v>12</v>
      </c>
      <c r="I359" s="161">
        <v>0</v>
      </c>
      <c r="J359" s="106"/>
      <c r="K359" s="133"/>
    </row>
    <row r="360" spans="1:11" ht="12.75">
      <c r="A360" s="189">
        <f t="shared" si="21"/>
        <v>287</v>
      </c>
      <c r="B360" s="15">
        <v>4580</v>
      </c>
      <c r="C360" s="127" t="s">
        <v>222</v>
      </c>
      <c r="D360" s="26"/>
      <c r="E360" s="48"/>
      <c r="F360" s="161">
        <v>300</v>
      </c>
      <c r="G360" s="161"/>
      <c r="H360" s="161">
        <v>300</v>
      </c>
      <c r="I360" s="161">
        <v>0</v>
      </c>
      <c r="J360" s="106">
        <f>I360/H360</f>
        <v>0</v>
      </c>
      <c r="K360" s="133">
        <f>I360/I$54</f>
        <v>0</v>
      </c>
    </row>
    <row r="361" spans="1:11" ht="12.75">
      <c r="A361" s="189">
        <f t="shared" si="21"/>
        <v>288</v>
      </c>
      <c r="B361" s="15">
        <v>4610</v>
      </c>
      <c r="C361" s="127" t="s">
        <v>233</v>
      </c>
      <c r="D361" s="26"/>
      <c r="E361" s="48">
        <v>37000</v>
      </c>
      <c r="F361" s="161">
        <f>SUM(F363:F364)</f>
        <v>32000</v>
      </c>
      <c r="G361" s="161">
        <f>H361-F361</f>
        <v>0</v>
      </c>
      <c r="H361" s="161">
        <f>SUM(H363:H364)</f>
        <v>32000</v>
      </c>
      <c r="I361" s="161">
        <f>SUM(I363:I364)</f>
        <v>40000</v>
      </c>
      <c r="J361" s="106">
        <f>I361/H361</f>
        <v>1.25</v>
      </c>
      <c r="K361" s="133">
        <f>I361/I$54</f>
        <v>0.0012093498827874208</v>
      </c>
    </row>
    <row r="362" spans="1:11" ht="12.75">
      <c r="A362" s="189">
        <f aca="true" t="shared" si="25" ref="A362:A427">A361+1</f>
        <v>289</v>
      </c>
      <c r="B362" s="15"/>
      <c r="C362" s="127" t="s">
        <v>16</v>
      </c>
      <c r="D362" s="26"/>
      <c r="E362" s="48"/>
      <c r="F362" s="161"/>
      <c r="G362" s="161"/>
      <c r="H362" s="161"/>
      <c r="I362" s="161"/>
      <c r="J362" s="106"/>
      <c r="K362" s="133"/>
    </row>
    <row r="363" spans="1:11" ht="12.75">
      <c r="A363" s="189">
        <f t="shared" si="25"/>
        <v>290</v>
      </c>
      <c r="B363" s="15"/>
      <c r="C363" s="127" t="s">
        <v>444</v>
      </c>
      <c r="D363" s="26"/>
      <c r="E363" s="48"/>
      <c r="F363" s="161">
        <f>13000+2000</f>
        <v>15000</v>
      </c>
      <c r="G363" s="161"/>
      <c r="H363" s="161">
        <f>13000+2000</f>
        <v>15000</v>
      </c>
      <c r="I363" s="161">
        <v>20000</v>
      </c>
      <c r="J363" s="106">
        <f>I363/H363</f>
        <v>1.3333333333333333</v>
      </c>
      <c r="K363" s="133">
        <f aca="true" t="shared" si="26" ref="K363:K389">I363/I$54</f>
        <v>0.0006046749413937104</v>
      </c>
    </row>
    <row r="364" spans="1:11" ht="12.75">
      <c r="A364" s="189">
        <f t="shared" si="25"/>
        <v>291</v>
      </c>
      <c r="B364" s="15"/>
      <c r="C364" s="127" t="s">
        <v>443</v>
      </c>
      <c r="D364" s="26"/>
      <c r="E364" s="48"/>
      <c r="F364" s="161">
        <v>17000</v>
      </c>
      <c r="G364" s="161"/>
      <c r="H364" s="161">
        <v>17000</v>
      </c>
      <c r="I364" s="161">
        <v>20000</v>
      </c>
      <c r="J364" s="106">
        <f>I364/H364</f>
        <v>1.1764705882352942</v>
      </c>
      <c r="K364" s="133">
        <f t="shared" si="26"/>
        <v>0.0006046749413937104</v>
      </c>
    </row>
    <row r="365" spans="1:11" ht="12.75">
      <c r="A365" s="189">
        <f t="shared" si="25"/>
        <v>292</v>
      </c>
      <c r="B365" s="15">
        <v>4700</v>
      </c>
      <c r="C365" s="127" t="s">
        <v>514</v>
      </c>
      <c r="D365" s="26"/>
      <c r="E365" s="48"/>
      <c r="F365" s="161"/>
      <c r="G365" s="161"/>
      <c r="H365" s="161"/>
      <c r="I365" s="161"/>
      <c r="J365" s="106"/>
      <c r="K365" s="133"/>
    </row>
    <row r="366" spans="1:11" ht="12.75">
      <c r="A366" s="189">
        <f t="shared" si="25"/>
        <v>293</v>
      </c>
      <c r="B366" s="15"/>
      <c r="C366" s="127" t="s">
        <v>513</v>
      </c>
      <c r="D366" s="26"/>
      <c r="E366" s="48"/>
      <c r="F366" s="161">
        <v>0</v>
      </c>
      <c r="G366" s="161"/>
      <c r="H366" s="161">
        <v>0</v>
      </c>
      <c r="I366" s="161">
        <v>31000</v>
      </c>
      <c r="J366" s="106"/>
      <c r="K366" s="133">
        <f t="shared" si="26"/>
        <v>0.0009372461591602511</v>
      </c>
    </row>
    <row r="367" spans="1:11" ht="12.75">
      <c r="A367" s="189">
        <f t="shared" si="25"/>
        <v>294</v>
      </c>
      <c r="B367" s="15">
        <v>4740</v>
      </c>
      <c r="C367" s="127" t="s">
        <v>445</v>
      </c>
      <c r="D367" s="26"/>
      <c r="E367" s="48"/>
      <c r="F367" s="161"/>
      <c r="G367" s="161"/>
      <c r="H367" s="161"/>
      <c r="I367" s="161"/>
      <c r="J367" s="106"/>
      <c r="K367" s="133"/>
    </row>
    <row r="368" spans="1:11" ht="12.75">
      <c r="A368" s="189">
        <f t="shared" si="25"/>
        <v>295</v>
      </c>
      <c r="B368" s="15"/>
      <c r="C368" s="127" t="s">
        <v>446</v>
      </c>
      <c r="D368" s="26"/>
      <c r="E368" s="48"/>
      <c r="F368" s="161">
        <v>0</v>
      </c>
      <c r="G368" s="161"/>
      <c r="H368" s="161">
        <v>0</v>
      </c>
      <c r="I368" s="161">
        <v>6500</v>
      </c>
      <c r="J368" s="106"/>
      <c r="K368" s="133">
        <f t="shared" si="26"/>
        <v>0.0001965193559529559</v>
      </c>
    </row>
    <row r="369" spans="1:11" ht="12.75">
      <c r="A369" s="189">
        <f t="shared" si="25"/>
        <v>296</v>
      </c>
      <c r="B369" s="15">
        <v>4750</v>
      </c>
      <c r="C369" s="127" t="s">
        <v>447</v>
      </c>
      <c r="D369" s="26"/>
      <c r="E369" s="48"/>
      <c r="F369" s="161"/>
      <c r="G369" s="161"/>
      <c r="H369" s="161"/>
      <c r="I369" s="161"/>
      <c r="J369" s="106"/>
      <c r="K369" s="133"/>
    </row>
    <row r="370" spans="1:11" ht="12.75">
      <c r="A370" s="189">
        <f t="shared" si="25"/>
        <v>297</v>
      </c>
      <c r="B370" s="15"/>
      <c r="C370" s="127" t="s">
        <v>448</v>
      </c>
      <c r="D370" s="26"/>
      <c r="E370" s="48"/>
      <c r="F370" s="161">
        <f>SUM(F372:F373)</f>
        <v>0</v>
      </c>
      <c r="G370" s="161">
        <f>SUM(G372:G373)</f>
        <v>0</v>
      </c>
      <c r="H370" s="161">
        <f>SUM(H372:H373)</f>
        <v>0</v>
      </c>
      <c r="I370" s="161">
        <f>SUM(I372:I373)</f>
        <v>63790</v>
      </c>
      <c r="J370" s="106"/>
      <c r="K370" s="133">
        <f t="shared" si="26"/>
        <v>0.0019286107255752395</v>
      </c>
    </row>
    <row r="371" spans="1:11" ht="12.75">
      <c r="A371" s="189">
        <f t="shared" si="25"/>
        <v>298</v>
      </c>
      <c r="B371" s="15"/>
      <c r="C371" s="127" t="s">
        <v>16</v>
      </c>
      <c r="D371" s="26"/>
      <c r="E371" s="48"/>
      <c r="F371" s="161"/>
      <c r="G371" s="161"/>
      <c r="H371" s="161"/>
      <c r="I371" s="161"/>
      <c r="J371" s="106"/>
      <c r="K371" s="133"/>
    </row>
    <row r="372" spans="1:11" ht="12.75">
      <c r="A372" s="189">
        <f t="shared" si="25"/>
        <v>299</v>
      </c>
      <c r="B372" s="15"/>
      <c r="C372" s="127" t="s">
        <v>504</v>
      </c>
      <c r="D372" s="26"/>
      <c r="E372" s="48"/>
      <c r="F372" s="161">
        <v>0</v>
      </c>
      <c r="G372" s="161"/>
      <c r="H372" s="161">
        <v>0</v>
      </c>
      <c r="I372" s="161">
        <v>21790</v>
      </c>
      <c r="J372" s="106"/>
      <c r="K372" s="133">
        <f t="shared" si="26"/>
        <v>0.0006587933486484475</v>
      </c>
    </row>
    <row r="373" spans="1:11" ht="12.75">
      <c r="A373" s="189">
        <f t="shared" si="25"/>
        <v>300</v>
      </c>
      <c r="B373" s="15"/>
      <c r="C373" s="127" t="s">
        <v>505</v>
      </c>
      <c r="D373" s="26"/>
      <c r="E373" s="48"/>
      <c r="F373" s="161">
        <v>0</v>
      </c>
      <c r="G373" s="161"/>
      <c r="H373" s="161">
        <v>0</v>
      </c>
      <c r="I373" s="161">
        <v>42000</v>
      </c>
      <c r="J373" s="106"/>
      <c r="K373" s="133">
        <f t="shared" si="26"/>
        <v>0.001269817376926792</v>
      </c>
    </row>
    <row r="374" spans="1:11" ht="12.75">
      <c r="A374" s="189">
        <f t="shared" si="25"/>
        <v>301</v>
      </c>
      <c r="B374" s="15">
        <v>6050</v>
      </c>
      <c r="C374" s="127" t="s">
        <v>230</v>
      </c>
      <c r="D374" s="26"/>
      <c r="E374" s="48"/>
      <c r="F374" s="161">
        <f>SUM(F376:F380)</f>
        <v>171200</v>
      </c>
      <c r="G374" s="161"/>
      <c r="H374" s="161">
        <f>SUM(H376:H380)</f>
        <v>171200</v>
      </c>
      <c r="I374" s="161">
        <f>SUM(I376:I380)</f>
        <v>99000</v>
      </c>
      <c r="J374" s="106">
        <f aca="true" t="shared" si="27" ref="J374:J383">I374/H374</f>
        <v>0.5782710280373832</v>
      </c>
      <c r="K374" s="133">
        <f t="shared" si="26"/>
        <v>0.0029931409598988666</v>
      </c>
    </row>
    <row r="375" spans="1:11" ht="12.75">
      <c r="A375" s="189">
        <f t="shared" si="25"/>
        <v>302</v>
      </c>
      <c r="B375" s="15"/>
      <c r="C375" s="127" t="s">
        <v>16</v>
      </c>
      <c r="D375" s="26"/>
      <c r="E375" s="48"/>
      <c r="F375" s="161"/>
      <c r="G375" s="161"/>
      <c r="H375" s="161"/>
      <c r="I375" s="161"/>
      <c r="J375" s="106"/>
      <c r="K375" s="133"/>
    </row>
    <row r="376" spans="1:11" ht="12.75">
      <c r="A376" s="189">
        <f t="shared" si="25"/>
        <v>303</v>
      </c>
      <c r="B376" s="15"/>
      <c r="C376" s="127" t="s">
        <v>449</v>
      </c>
      <c r="D376" s="26"/>
      <c r="E376" s="48"/>
      <c r="F376" s="161">
        <v>1200</v>
      </c>
      <c r="G376" s="161"/>
      <c r="H376" s="161">
        <v>1200</v>
      </c>
      <c r="I376" s="161">
        <v>4000</v>
      </c>
      <c r="J376" s="106">
        <f t="shared" si="27"/>
        <v>3.3333333333333335</v>
      </c>
      <c r="K376" s="133">
        <f t="shared" si="26"/>
        <v>0.00012093498827874209</v>
      </c>
    </row>
    <row r="377" spans="1:11" ht="12.75">
      <c r="A377" s="189">
        <f t="shared" si="25"/>
        <v>304</v>
      </c>
      <c r="B377" s="15"/>
      <c r="C377" s="127" t="s">
        <v>535</v>
      </c>
      <c r="D377" s="26"/>
      <c r="E377" s="48"/>
      <c r="F377" s="161">
        <v>0</v>
      </c>
      <c r="G377" s="161"/>
      <c r="H377" s="161">
        <v>0</v>
      </c>
      <c r="I377" s="161">
        <v>45000</v>
      </c>
      <c r="J377" s="106"/>
      <c r="K377" s="133">
        <f t="shared" si="26"/>
        <v>0.0013605186181358485</v>
      </c>
    </row>
    <row r="378" spans="1:11" ht="12.75">
      <c r="A378" s="189">
        <f t="shared" si="25"/>
        <v>305</v>
      </c>
      <c r="B378" s="15"/>
      <c r="C378" s="127" t="s">
        <v>392</v>
      </c>
      <c r="D378" s="26"/>
      <c r="E378" s="48"/>
      <c r="F378" s="161"/>
      <c r="G378" s="161"/>
      <c r="H378" s="161"/>
      <c r="I378" s="161"/>
      <c r="J378" s="106"/>
      <c r="K378" s="133"/>
    </row>
    <row r="379" spans="1:11" ht="12.75">
      <c r="A379" s="189">
        <f t="shared" si="25"/>
        <v>306</v>
      </c>
      <c r="B379" s="15"/>
      <c r="C379" s="127" t="s">
        <v>393</v>
      </c>
      <c r="D379" s="26"/>
      <c r="E379" s="48"/>
      <c r="F379" s="161"/>
      <c r="G379" s="161"/>
      <c r="H379" s="161"/>
      <c r="I379" s="161"/>
      <c r="J379" s="106"/>
      <c r="K379" s="133"/>
    </row>
    <row r="380" spans="1:11" ht="12.75">
      <c r="A380" s="189">
        <f t="shared" si="25"/>
        <v>307</v>
      </c>
      <c r="B380" s="15"/>
      <c r="C380" s="127" t="s">
        <v>391</v>
      </c>
      <c r="D380" s="26"/>
      <c r="E380" s="48"/>
      <c r="F380" s="161">
        <v>170000</v>
      </c>
      <c r="G380" s="161"/>
      <c r="H380" s="161">
        <v>170000</v>
      </c>
      <c r="I380" s="161">
        <v>50000</v>
      </c>
      <c r="J380" s="106">
        <f t="shared" si="27"/>
        <v>0.29411764705882354</v>
      </c>
      <c r="K380" s="133">
        <f t="shared" si="26"/>
        <v>0.0015116873534842762</v>
      </c>
    </row>
    <row r="381" spans="1:11" ht="12.75">
      <c r="A381" s="189">
        <f t="shared" si="25"/>
        <v>308</v>
      </c>
      <c r="B381" s="15">
        <v>6060</v>
      </c>
      <c r="C381" s="127" t="s">
        <v>183</v>
      </c>
      <c r="D381" s="26"/>
      <c r="E381" s="47" t="e">
        <f>SUM(#REF!)</f>
        <v>#REF!</v>
      </c>
      <c r="F381" s="29">
        <f>SUM(F383:F387)</f>
        <v>87100</v>
      </c>
      <c r="G381" s="161">
        <f>H381-F381</f>
        <v>0</v>
      </c>
      <c r="H381" s="29">
        <f>SUM(H383:H387)</f>
        <v>87100</v>
      </c>
      <c r="I381" s="29">
        <f>SUM(I383:I387)</f>
        <v>19500</v>
      </c>
      <c r="J381" s="106">
        <f t="shared" si="27"/>
        <v>0.22388059701492538</v>
      </c>
      <c r="K381" s="133">
        <f t="shared" si="26"/>
        <v>0.0005895580678588677</v>
      </c>
    </row>
    <row r="382" spans="1:11" ht="12.75">
      <c r="A382" s="189">
        <f t="shared" si="25"/>
        <v>309</v>
      </c>
      <c r="B382" s="15"/>
      <c r="C382" s="127" t="s">
        <v>16</v>
      </c>
      <c r="D382" s="26"/>
      <c r="E382" s="48"/>
      <c r="F382" s="161"/>
      <c r="G382" s="161">
        <f>H382-F382</f>
        <v>0</v>
      </c>
      <c r="H382" s="161"/>
      <c r="I382" s="161"/>
      <c r="J382" s="106"/>
      <c r="K382" s="133"/>
    </row>
    <row r="383" spans="1:11" ht="12.75">
      <c r="A383" s="189">
        <f t="shared" si="25"/>
        <v>310</v>
      </c>
      <c r="B383" s="15"/>
      <c r="C383" s="127" t="s">
        <v>536</v>
      </c>
      <c r="D383" s="26"/>
      <c r="E383" s="48"/>
      <c r="F383" s="161">
        <v>8800</v>
      </c>
      <c r="G383" s="161"/>
      <c r="H383" s="161">
        <v>8800</v>
      </c>
      <c r="I383" s="161">
        <v>4500</v>
      </c>
      <c r="J383" s="106">
        <f t="shared" si="27"/>
        <v>0.5113636363636364</v>
      </c>
      <c r="K383" s="133">
        <f t="shared" si="26"/>
        <v>0.00013605186181358484</v>
      </c>
    </row>
    <row r="384" spans="1:11" ht="12.75">
      <c r="A384" s="189">
        <f>A383+1</f>
        <v>311</v>
      </c>
      <c r="B384" s="15"/>
      <c r="C384" s="127" t="s">
        <v>359</v>
      </c>
      <c r="D384" s="26"/>
      <c r="E384" s="48"/>
      <c r="F384" s="161">
        <v>73800</v>
      </c>
      <c r="G384" s="161"/>
      <c r="H384" s="161">
        <v>73800</v>
      </c>
      <c r="I384" s="161">
        <v>0</v>
      </c>
      <c r="J384" s="106"/>
      <c r="K384" s="133">
        <f t="shared" si="26"/>
        <v>0</v>
      </c>
    </row>
    <row r="385" spans="1:11" ht="12.75">
      <c r="A385" s="189"/>
      <c r="B385" s="15"/>
      <c r="C385" s="127" t="s">
        <v>624</v>
      </c>
      <c r="D385" s="26"/>
      <c r="E385" s="48"/>
      <c r="F385" s="161">
        <v>0</v>
      </c>
      <c r="G385" s="161"/>
      <c r="H385" s="161">
        <v>0</v>
      </c>
      <c r="I385" s="161">
        <v>15000</v>
      </c>
      <c r="J385" s="106"/>
      <c r="K385" s="133">
        <f t="shared" si="26"/>
        <v>0.00045350620604528284</v>
      </c>
    </row>
    <row r="386" spans="1:11" ht="12.75">
      <c r="A386" s="189">
        <f>A384+1</f>
        <v>312</v>
      </c>
      <c r="B386" s="15"/>
      <c r="C386" s="127" t="s">
        <v>321</v>
      </c>
      <c r="D386" s="26"/>
      <c r="E386" s="48"/>
      <c r="F386" s="161"/>
      <c r="G386" s="161"/>
      <c r="H386" s="161"/>
      <c r="I386" s="161"/>
      <c r="J386" s="106"/>
      <c r="K386" s="133"/>
    </row>
    <row r="387" spans="1:11" ht="12.75">
      <c r="A387" s="189">
        <f t="shared" si="25"/>
        <v>313</v>
      </c>
      <c r="B387" s="15"/>
      <c r="C387" s="127" t="s">
        <v>437</v>
      </c>
      <c r="D387" s="26"/>
      <c r="E387" s="48"/>
      <c r="F387" s="161">
        <v>4500</v>
      </c>
      <c r="G387" s="161"/>
      <c r="H387" s="161">
        <v>4500</v>
      </c>
      <c r="I387" s="161">
        <v>0</v>
      </c>
      <c r="J387" s="106"/>
      <c r="K387" s="133">
        <f t="shared" si="26"/>
        <v>0</v>
      </c>
    </row>
    <row r="388" spans="1:11" ht="12.75">
      <c r="A388" s="189">
        <f t="shared" si="25"/>
        <v>314</v>
      </c>
      <c r="B388" s="15">
        <v>6800</v>
      </c>
      <c r="C388" s="127" t="s">
        <v>394</v>
      </c>
      <c r="D388" s="26"/>
      <c r="E388" s="48"/>
      <c r="F388" s="161"/>
      <c r="G388" s="161"/>
      <c r="H388" s="161"/>
      <c r="I388" s="161"/>
      <c r="J388" s="106"/>
      <c r="K388" s="133"/>
    </row>
    <row r="389" spans="1:11" ht="12.75">
      <c r="A389" s="189">
        <f t="shared" si="25"/>
        <v>315</v>
      </c>
      <c r="B389" s="15"/>
      <c r="C389" s="127" t="s">
        <v>395</v>
      </c>
      <c r="D389" s="26"/>
      <c r="E389" s="48"/>
      <c r="F389" s="161">
        <v>0</v>
      </c>
      <c r="G389" s="161"/>
      <c r="H389" s="161">
        <v>0</v>
      </c>
      <c r="I389" s="161">
        <v>0</v>
      </c>
      <c r="J389" s="106"/>
      <c r="K389" s="133">
        <f t="shared" si="26"/>
        <v>0</v>
      </c>
    </row>
    <row r="390" spans="1:11" s="75" customFormat="1" ht="12.75">
      <c r="A390" s="189">
        <f>A389+1</f>
        <v>316</v>
      </c>
      <c r="B390" s="77">
        <v>75045</v>
      </c>
      <c r="C390" s="128" t="s">
        <v>105</v>
      </c>
      <c r="D390" s="65"/>
      <c r="E390" s="66">
        <f>E391</f>
        <v>500</v>
      </c>
      <c r="F390" s="65">
        <f>SUM(F391:F392)</f>
        <v>600</v>
      </c>
      <c r="G390" s="161">
        <f>H390-F390</f>
        <v>0</v>
      </c>
      <c r="H390" s="65">
        <f>SUM(H391:H392)</f>
        <v>600</v>
      </c>
      <c r="I390" s="65">
        <f>SUM(I391:I392)</f>
        <v>600</v>
      </c>
      <c r="J390" s="217">
        <f>I390/H390</f>
        <v>1</v>
      </c>
      <c r="K390" s="139">
        <f>I390/I$54</f>
        <v>1.8140248241811312E-05</v>
      </c>
    </row>
    <row r="391" spans="1:11" s="62" customFormat="1" ht="12.75">
      <c r="A391" s="189">
        <f t="shared" si="25"/>
        <v>317</v>
      </c>
      <c r="B391" s="86">
        <v>4300</v>
      </c>
      <c r="C391" s="127" t="s">
        <v>160</v>
      </c>
      <c r="D391" s="89"/>
      <c r="E391" s="88">
        <v>500</v>
      </c>
      <c r="F391" s="170">
        <v>500</v>
      </c>
      <c r="G391" s="161">
        <f>H391-F391</f>
        <v>0</v>
      </c>
      <c r="H391" s="170">
        <v>500</v>
      </c>
      <c r="I391" s="170">
        <v>500</v>
      </c>
      <c r="J391" s="106">
        <f>I391/H391</f>
        <v>1</v>
      </c>
      <c r="K391" s="133">
        <f>I391/I$54</f>
        <v>1.5116873534842761E-05</v>
      </c>
    </row>
    <row r="392" spans="1:11" s="62" customFormat="1" ht="12.75">
      <c r="A392" s="189">
        <f t="shared" si="25"/>
        <v>318</v>
      </c>
      <c r="B392" s="86">
        <v>4410</v>
      </c>
      <c r="C392" s="127" t="s">
        <v>74</v>
      </c>
      <c r="D392" s="89"/>
      <c r="E392" s="88"/>
      <c r="F392" s="170">
        <v>100</v>
      </c>
      <c r="G392" s="161"/>
      <c r="H392" s="170">
        <v>100</v>
      </c>
      <c r="I392" s="170">
        <v>100</v>
      </c>
      <c r="J392" s="106">
        <f>I392/H392</f>
        <v>1</v>
      </c>
      <c r="K392" s="133">
        <f>I392/I$54</f>
        <v>3.023374706968552E-06</v>
      </c>
    </row>
    <row r="393" spans="1:11" s="75" customFormat="1" ht="12.75">
      <c r="A393" s="189">
        <f t="shared" si="25"/>
        <v>319</v>
      </c>
      <c r="B393" s="77">
        <v>75095</v>
      </c>
      <c r="C393" s="128" t="s">
        <v>28</v>
      </c>
      <c r="D393" s="65"/>
      <c r="E393" s="66" t="e">
        <f>#REF!+E401+E406+E407+E419</f>
        <v>#REF!</v>
      </c>
      <c r="F393" s="65">
        <f>F395+F401+F406+F407+F408+F413+F418+F420</f>
        <v>323572</v>
      </c>
      <c r="G393" s="161">
        <f>H393-F393</f>
        <v>-638.2999999999884</v>
      </c>
      <c r="H393" s="65">
        <f>H395+H401+H406+H407+H408+H413+H418+H420</f>
        <v>322933.7</v>
      </c>
      <c r="I393" s="65">
        <f>I395+I401+I406+I407+I408+I413+I418+I420</f>
        <v>304532</v>
      </c>
      <c r="J393" s="217">
        <f>I393/H393</f>
        <v>0.9430170960788545</v>
      </c>
      <c r="K393" s="139">
        <f>I393/I$54</f>
        <v>0.009207143462625472</v>
      </c>
    </row>
    <row r="394" spans="1:11" ht="12.75">
      <c r="A394" s="189">
        <f t="shared" si="25"/>
        <v>320</v>
      </c>
      <c r="B394" s="15">
        <v>2900</v>
      </c>
      <c r="C394" s="127" t="s">
        <v>372</v>
      </c>
      <c r="D394" s="26"/>
      <c r="E394" s="48"/>
      <c r="F394" s="161"/>
      <c r="G394" s="161"/>
      <c r="H394" s="161"/>
      <c r="I394" s="161"/>
      <c r="J394" s="106"/>
      <c r="K394" s="133"/>
    </row>
    <row r="395" spans="1:11" ht="12.75">
      <c r="A395" s="189">
        <f t="shared" si="25"/>
        <v>321</v>
      </c>
      <c r="B395" s="15"/>
      <c r="C395" s="127" t="s">
        <v>373</v>
      </c>
      <c r="D395" s="26"/>
      <c r="E395" s="48"/>
      <c r="F395" s="161">
        <f>SUM(F397:F400)</f>
        <v>145290</v>
      </c>
      <c r="G395" s="161"/>
      <c r="H395" s="161">
        <f>SUM(H397:H400)</f>
        <v>144651.7</v>
      </c>
      <c r="I395" s="161">
        <f>SUM(I397:I400)</f>
        <v>136030</v>
      </c>
      <c r="J395" s="106">
        <f aca="true" t="shared" si="28" ref="J395:J400">I395/H395</f>
        <v>0.9403968290728695</v>
      </c>
      <c r="K395" s="133">
        <f aca="true" t="shared" si="29" ref="K395:K400">I395/I$54</f>
        <v>0.004112696613889321</v>
      </c>
    </row>
    <row r="396" spans="1:11" ht="12.75">
      <c r="A396" s="189">
        <f t="shared" si="25"/>
        <v>322</v>
      </c>
      <c r="B396" s="15"/>
      <c r="C396" s="127" t="s">
        <v>16</v>
      </c>
      <c r="D396" s="26"/>
      <c r="E396" s="48"/>
      <c r="F396" s="161"/>
      <c r="G396" s="161"/>
      <c r="H396" s="161"/>
      <c r="J396" s="106"/>
      <c r="K396" s="133"/>
    </row>
    <row r="397" spans="1:11" ht="12.75">
      <c r="A397" s="189">
        <f t="shared" si="25"/>
        <v>323</v>
      </c>
      <c r="B397" s="15"/>
      <c r="C397" s="127" t="s">
        <v>374</v>
      </c>
      <c r="D397" s="26"/>
      <c r="E397" s="48"/>
      <c r="F397" s="161">
        <f>126690+10000</f>
        <v>136690</v>
      </c>
      <c r="G397" s="161"/>
      <c r="H397" s="161">
        <v>136690</v>
      </c>
      <c r="I397" s="161">
        <v>127830</v>
      </c>
      <c r="J397" s="106">
        <f t="shared" si="28"/>
        <v>0.9351817982295706</v>
      </c>
      <c r="K397" s="133">
        <f t="shared" si="29"/>
        <v>0.0038647798879179003</v>
      </c>
    </row>
    <row r="398" spans="1:11" ht="12.75">
      <c r="A398" s="189">
        <f t="shared" si="25"/>
        <v>324</v>
      </c>
      <c r="B398" s="15"/>
      <c r="C398" s="127" t="s">
        <v>71</v>
      </c>
      <c r="D398" s="26"/>
      <c r="E398" s="48"/>
      <c r="F398" s="161">
        <v>3100</v>
      </c>
      <c r="G398" s="161"/>
      <c r="H398" s="161">
        <v>3000</v>
      </c>
      <c r="I398" s="161">
        <v>3100</v>
      </c>
      <c r="J398" s="106">
        <f t="shared" si="28"/>
        <v>1.0333333333333334</v>
      </c>
      <c r="K398" s="133">
        <f t="shared" si="29"/>
        <v>9.372461591602512E-05</v>
      </c>
    </row>
    <row r="399" spans="1:11" ht="12.75">
      <c r="A399" s="189">
        <f t="shared" si="25"/>
        <v>325</v>
      </c>
      <c r="B399" s="15"/>
      <c r="C399" s="130" t="s">
        <v>211</v>
      </c>
      <c r="D399" s="26"/>
      <c r="E399" s="48"/>
      <c r="F399" s="161">
        <v>4000</v>
      </c>
      <c r="G399" s="161"/>
      <c r="H399" s="161">
        <v>3897</v>
      </c>
      <c r="I399" s="161">
        <v>4000</v>
      </c>
      <c r="J399" s="106">
        <f t="shared" si="28"/>
        <v>1.0264305876315114</v>
      </c>
      <c r="K399" s="133">
        <f t="shared" si="29"/>
        <v>0.00012093498827874209</v>
      </c>
    </row>
    <row r="400" spans="1:11" ht="12.75">
      <c r="A400" s="189">
        <f t="shared" si="25"/>
        <v>326</v>
      </c>
      <c r="B400" s="15"/>
      <c r="C400" s="127" t="s">
        <v>323</v>
      </c>
      <c r="D400" s="26"/>
      <c r="E400" s="48"/>
      <c r="F400" s="161">
        <v>1500</v>
      </c>
      <c r="G400" s="161"/>
      <c r="H400" s="161">
        <v>1064.7</v>
      </c>
      <c r="I400" s="161">
        <v>1100</v>
      </c>
      <c r="J400" s="106">
        <f t="shared" si="28"/>
        <v>1.0331548793087255</v>
      </c>
      <c r="K400" s="133">
        <f t="shared" si="29"/>
        <v>3.325712177665407E-05</v>
      </c>
    </row>
    <row r="401" spans="1:11" ht="12.75">
      <c r="A401" s="189">
        <f t="shared" si="25"/>
        <v>327</v>
      </c>
      <c r="B401" s="15">
        <v>4100</v>
      </c>
      <c r="C401" s="127" t="s">
        <v>166</v>
      </c>
      <c r="D401" s="26"/>
      <c r="E401" s="53">
        <f>SUM(E403:E405)</f>
        <v>80200</v>
      </c>
      <c r="F401" s="175">
        <f>SUM(F403:F405)</f>
        <v>83000</v>
      </c>
      <c r="G401" s="161">
        <f aca="true" t="shared" si="30" ref="G401:G407">H401-F401</f>
        <v>0</v>
      </c>
      <c r="H401" s="175">
        <f>SUM(H403:H405)</f>
        <v>83000</v>
      </c>
      <c r="I401" s="175">
        <f>SUM(I403:I405)</f>
        <v>74500</v>
      </c>
      <c r="J401" s="106">
        <f>I401/H401</f>
        <v>0.8975903614457831</v>
      </c>
      <c r="K401" s="133">
        <f>I401/I$54</f>
        <v>0.0022524141566915715</v>
      </c>
    </row>
    <row r="402" spans="1:11" ht="12.75">
      <c r="A402" s="189">
        <f t="shared" si="25"/>
        <v>328</v>
      </c>
      <c r="B402" s="15"/>
      <c r="C402" s="127" t="s">
        <v>16</v>
      </c>
      <c r="D402" s="26"/>
      <c r="E402" s="48"/>
      <c r="F402" s="161"/>
      <c r="G402" s="161">
        <f t="shared" si="30"/>
        <v>0</v>
      </c>
      <c r="H402" s="161"/>
      <c r="I402" s="161"/>
      <c r="J402" s="106"/>
      <c r="K402" s="133"/>
    </row>
    <row r="403" spans="1:11" ht="12.75">
      <c r="A403" s="189">
        <f t="shared" si="25"/>
        <v>329</v>
      </c>
      <c r="B403" s="15"/>
      <c r="C403" s="127" t="s">
        <v>106</v>
      </c>
      <c r="D403" s="26"/>
      <c r="E403" s="48">
        <v>50000</v>
      </c>
      <c r="F403" s="161">
        <f>50500+5000</f>
        <v>55500</v>
      </c>
      <c r="G403" s="161">
        <f t="shared" si="30"/>
        <v>0</v>
      </c>
      <c r="H403" s="161">
        <f>50500+5000</f>
        <v>55500</v>
      </c>
      <c r="I403" s="161">
        <v>58000</v>
      </c>
      <c r="J403" s="106">
        <f aca="true" t="shared" si="31" ref="J403:J413">I403/H403</f>
        <v>1.045045045045045</v>
      </c>
      <c r="K403" s="133">
        <f aca="true" t="shared" si="32" ref="K403:K408">I403/I$54</f>
        <v>0.0017535573300417604</v>
      </c>
    </row>
    <row r="404" spans="1:11" ht="12.75">
      <c r="A404" s="189">
        <f t="shared" si="25"/>
        <v>330</v>
      </c>
      <c r="B404" s="15"/>
      <c r="C404" s="127" t="s">
        <v>107</v>
      </c>
      <c r="D404" s="26"/>
      <c r="E404" s="48">
        <v>26700</v>
      </c>
      <c r="F404" s="161">
        <v>26000</v>
      </c>
      <c r="G404" s="161">
        <f t="shared" si="30"/>
        <v>0</v>
      </c>
      <c r="H404" s="161">
        <v>26000</v>
      </c>
      <c r="I404" s="161">
        <v>15000</v>
      </c>
      <c r="J404" s="106">
        <f t="shared" si="31"/>
        <v>0.5769230769230769</v>
      </c>
      <c r="K404" s="133">
        <f t="shared" si="32"/>
        <v>0.00045350620604528284</v>
      </c>
    </row>
    <row r="405" spans="1:11" ht="12.75">
      <c r="A405" s="189">
        <f t="shared" si="25"/>
        <v>331</v>
      </c>
      <c r="B405" s="15"/>
      <c r="C405" s="127" t="s">
        <v>108</v>
      </c>
      <c r="D405" s="26"/>
      <c r="E405" s="48">
        <v>3500</v>
      </c>
      <c r="F405" s="161">
        <v>1500</v>
      </c>
      <c r="G405" s="161">
        <f t="shared" si="30"/>
        <v>0</v>
      </c>
      <c r="H405" s="161">
        <v>1500</v>
      </c>
      <c r="I405" s="161">
        <v>1500</v>
      </c>
      <c r="J405" s="106">
        <f t="shared" si="31"/>
        <v>1</v>
      </c>
      <c r="K405" s="133">
        <f t="shared" si="32"/>
        <v>4.535062060452828E-05</v>
      </c>
    </row>
    <row r="406" spans="1:11" ht="12.75">
      <c r="A406" s="189">
        <f t="shared" si="25"/>
        <v>332</v>
      </c>
      <c r="B406" s="15">
        <v>4110</v>
      </c>
      <c r="C406" s="127" t="s">
        <v>35</v>
      </c>
      <c r="D406" s="26"/>
      <c r="E406" s="48">
        <v>4300</v>
      </c>
      <c r="F406" s="161">
        <v>7150</v>
      </c>
      <c r="G406" s="161">
        <f t="shared" si="30"/>
        <v>0</v>
      </c>
      <c r="H406" s="161">
        <v>7150</v>
      </c>
      <c r="I406" s="161">
        <v>7150</v>
      </c>
      <c r="J406" s="106">
        <f t="shared" si="31"/>
        <v>1</v>
      </c>
      <c r="K406" s="133">
        <f t="shared" si="32"/>
        <v>0.0002161712915482515</v>
      </c>
    </row>
    <row r="407" spans="1:11" ht="12.75">
      <c r="A407" s="189">
        <f t="shared" si="25"/>
        <v>333</v>
      </c>
      <c r="B407" s="15">
        <v>4120</v>
      </c>
      <c r="C407" s="127" t="s">
        <v>36</v>
      </c>
      <c r="D407" s="26"/>
      <c r="E407" s="48">
        <v>700</v>
      </c>
      <c r="F407" s="161">
        <v>1920</v>
      </c>
      <c r="G407" s="161">
        <f t="shared" si="30"/>
        <v>0</v>
      </c>
      <c r="H407" s="161">
        <v>1920</v>
      </c>
      <c r="I407" s="161">
        <v>1920</v>
      </c>
      <c r="J407" s="106">
        <f t="shared" si="31"/>
        <v>1</v>
      </c>
      <c r="K407" s="133">
        <f t="shared" si="32"/>
        <v>5.8048794373796205E-05</v>
      </c>
    </row>
    <row r="408" spans="1:11" ht="12.75">
      <c r="A408" s="189">
        <f t="shared" si="25"/>
        <v>334</v>
      </c>
      <c r="B408" s="15">
        <v>4260</v>
      </c>
      <c r="C408" s="86" t="s">
        <v>240</v>
      </c>
      <c r="D408" s="26"/>
      <c r="E408" s="48"/>
      <c r="F408" s="161">
        <f>SUM(F410:F412)</f>
        <v>78500</v>
      </c>
      <c r="G408" s="161"/>
      <c r="H408" s="161">
        <f>SUM(H410:H412)</f>
        <v>78500</v>
      </c>
      <c r="I408" s="161">
        <f>SUM(I410:I412)</f>
        <v>77500</v>
      </c>
      <c r="J408" s="106">
        <f t="shared" si="31"/>
        <v>0.9872611464968153</v>
      </c>
      <c r="K408" s="133">
        <f t="shared" si="32"/>
        <v>0.002343115397900628</v>
      </c>
    </row>
    <row r="409" spans="1:11" ht="12.75">
      <c r="A409" s="189">
        <f t="shared" si="25"/>
        <v>335</v>
      </c>
      <c r="B409" s="15"/>
      <c r="C409" s="86" t="s">
        <v>16</v>
      </c>
      <c r="D409" s="26"/>
      <c r="E409" s="48"/>
      <c r="F409" s="161"/>
      <c r="G409" s="161"/>
      <c r="H409" s="161"/>
      <c r="I409" s="161"/>
      <c r="J409" s="106"/>
      <c r="K409" s="133"/>
    </row>
    <row r="410" spans="1:11" ht="12.75">
      <c r="A410" s="189">
        <f t="shared" si="25"/>
        <v>336</v>
      </c>
      <c r="B410" s="15"/>
      <c r="C410" s="86" t="s">
        <v>322</v>
      </c>
      <c r="D410" s="26"/>
      <c r="E410" s="48"/>
      <c r="F410" s="161">
        <v>61000</v>
      </c>
      <c r="G410" s="161"/>
      <c r="H410" s="161">
        <v>61000</v>
      </c>
      <c r="I410" s="161">
        <v>65000</v>
      </c>
      <c r="J410" s="106">
        <f>I410/H410</f>
        <v>1.0655737704918034</v>
      </c>
      <c r="K410" s="133">
        <f>I410/I$54</f>
        <v>0.001965193559529559</v>
      </c>
    </row>
    <row r="411" spans="1:11" ht="12.75">
      <c r="A411" s="189">
        <f t="shared" si="25"/>
        <v>337</v>
      </c>
      <c r="B411" s="15"/>
      <c r="C411" s="86" t="s">
        <v>33</v>
      </c>
      <c r="D411" s="26"/>
      <c r="E411" s="48"/>
      <c r="F411" s="161">
        <v>15000</v>
      </c>
      <c r="G411" s="161"/>
      <c r="H411" s="161">
        <v>15000</v>
      </c>
      <c r="I411" s="161">
        <v>10000</v>
      </c>
      <c r="J411" s="106">
        <f>I411/H411</f>
        <v>0.6666666666666666</v>
      </c>
      <c r="K411" s="133">
        <f>I411/I$54</f>
        <v>0.0003023374706968552</v>
      </c>
    </row>
    <row r="412" spans="1:11" ht="12.75">
      <c r="A412" s="189">
        <f t="shared" si="25"/>
        <v>338</v>
      </c>
      <c r="B412" s="15"/>
      <c r="C412" s="86" t="s">
        <v>450</v>
      </c>
      <c r="D412" s="26"/>
      <c r="E412" s="48"/>
      <c r="F412" s="161">
        <v>2500</v>
      </c>
      <c r="G412" s="161"/>
      <c r="H412" s="161">
        <v>2500</v>
      </c>
      <c r="I412" s="161">
        <v>2500</v>
      </c>
      <c r="J412" s="106">
        <f>I412/H412</f>
        <v>1</v>
      </c>
      <c r="K412" s="133">
        <f>I412/I$54</f>
        <v>7.55843676742138E-05</v>
      </c>
    </row>
    <row r="413" spans="1:11" ht="12.75">
      <c r="A413" s="189">
        <f t="shared" si="25"/>
        <v>339</v>
      </c>
      <c r="B413" s="15">
        <v>4300</v>
      </c>
      <c r="C413" s="86" t="s">
        <v>160</v>
      </c>
      <c r="D413" s="26"/>
      <c r="E413" s="48"/>
      <c r="F413" s="161">
        <f>SUM(F415:F416)</f>
        <v>7512</v>
      </c>
      <c r="G413" s="161"/>
      <c r="H413" s="161">
        <f>SUM(H415:H416)</f>
        <v>7512</v>
      </c>
      <c r="I413" s="161">
        <f>SUM(I415:I416)</f>
        <v>6500</v>
      </c>
      <c r="J413" s="106">
        <f t="shared" si="31"/>
        <v>0.8652822151224707</v>
      </c>
      <c r="K413" s="133">
        <f>I413/I$54</f>
        <v>0.0001965193559529559</v>
      </c>
    </row>
    <row r="414" spans="1:11" ht="12.75">
      <c r="A414" s="189">
        <f t="shared" si="25"/>
        <v>340</v>
      </c>
      <c r="B414" s="15"/>
      <c r="C414" s="86" t="s">
        <v>16</v>
      </c>
      <c r="D414" s="26"/>
      <c r="E414" s="48"/>
      <c r="F414" s="161"/>
      <c r="G414" s="161"/>
      <c r="H414" s="161"/>
      <c r="I414" s="161"/>
      <c r="J414" s="106"/>
      <c r="K414" s="133"/>
    </row>
    <row r="415" spans="1:11" ht="12.75">
      <c r="A415" s="189">
        <f t="shared" si="25"/>
        <v>341</v>
      </c>
      <c r="B415" s="15"/>
      <c r="C415" s="86" t="s">
        <v>283</v>
      </c>
      <c r="D415" s="26"/>
      <c r="E415" s="48"/>
      <c r="F415" s="161">
        <v>6780</v>
      </c>
      <c r="G415" s="161"/>
      <c r="H415" s="161">
        <v>6780</v>
      </c>
      <c r="I415" s="161">
        <f>3000+600+400+1300+1200</f>
        <v>6500</v>
      </c>
      <c r="J415" s="106">
        <f>I415/H415</f>
        <v>0.9587020648967551</v>
      </c>
      <c r="K415" s="133">
        <f>I415/I$54</f>
        <v>0.0001965193559529559</v>
      </c>
    </row>
    <row r="416" spans="1:11" ht="12.75">
      <c r="A416" s="189">
        <f t="shared" si="25"/>
        <v>342</v>
      </c>
      <c r="B416" s="15"/>
      <c r="C416" s="86" t="s">
        <v>284</v>
      </c>
      <c r="D416" s="26"/>
      <c r="E416" s="48"/>
      <c r="F416" s="161">
        <v>732</v>
      </c>
      <c r="G416" s="161"/>
      <c r="H416" s="161">
        <v>732</v>
      </c>
      <c r="I416" s="161">
        <v>0</v>
      </c>
      <c r="J416" s="106">
        <f>I416/H416</f>
        <v>0</v>
      </c>
      <c r="K416" s="133">
        <f>I416/I$54</f>
        <v>0</v>
      </c>
    </row>
    <row r="417" spans="1:11" ht="12.75">
      <c r="A417" s="189">
        <f t="shared" si="25"/>
        <v>343</v>
      </c>
      <c r="B417" s="15">
        <v>4400</v>
      </c>
      <c r="C417" s="127" t="s">
        <v>518</v>
      </c>
      <c r="D417" s="26"/>
      <c r="E417" s="48"/>
      <c r="F417" s="161"/>
      <c r="G417" s="161"/>
      <c r="H417" s="161"/>
      <c r="I417" s="161"/>
      <c r="J417" s="106"/>
      <c r="K417" s="133"/>
    </row>
    <row r="418" spans="1:11" ht="12.75">
      <c r="A418" s="189">
        <f t="shared" si="25"/>
        <v>344</v>
      </c>
      <c r="B418" s="15"/>
      <c r="C418" s="86" t="s">
        <v>519</v>
      </c>
      <c r="D418" s="26"/>
      <c r="E418" s="48"/>
      <c r="F418" s="161">
        <v>0</v>
      </c>
      <c r="G418" s="161"/>
      <c r="H418" s="161">
        <v>0</v>
      </c>
      <c r="I418" s="161">
        <v>732</v>
      </c>
      <c r="J418" s="106"/>
      <c r="K418" s="133">
        <f>I418/I$54</f>
        <v>2.2131102855009803E-05</v>
      </c>
    </row>
    <row r="419" spans="1:11" ht="12.75">
      <c r="A419" s="189">
        <f t="shared" si="25"/>
        <v>345</v>
      </c>
      <c r="B419" s="16">
        <v>4430</v>
      </c>
      <c r="C419" s="127" t="s">
        <v>44</v>
      </c>
      <c r="D419" s="26"/>
      <c r="E419" s="54" t="e">
        <f>SUM(#REF!)</f>
        <v>#REF!</v>
      </c>
      <c r="F419" s="179"/>
      <c r="G419" s="161">
        <f>H419-F419</f>
        <v>0</v>
      </c>
      <c r="H419" s="179"/>
      <c r="I419" s="179"/>
      <c r="J419" s="106"/>
      <c r="K419" s="133"/>
    </row>
    <row r="420" spans="1:11" ht="12.75">
      <c r="A420" s="189">
        <f t="shared" si="25"/>
        <v>346</v>
      </c>
      <c r="B420" s="16"/>
      <c r="C420" s="127" t="s">
        <v>451</v>
      </c>
      <c r="D420" s="26"/>
      <c r="E420" s="48"/>
      <c r="F420" s="161">
        <v>200</v>
      </c>
      <c r="G420" s="161">
        <f>H420-F420</f>
        <v>0</v>
      </c>
      <c r="H420" s="161">
        <v>200</v>
      </c>
      <c r="I420" s="161">
        <v>200</v>
      </c>
      <c r="J420" s="106">
        <f>I420/H420</f>
        <v>1</v>
      </c>
      <c r="K420" s="133">
        <f>I420/I$54</f>
        <v>6.046749413937104E-06</v>
      </c>
    </row>
    <row r="421" spans="1:11" s="72" customFormat="1" ht="12.75">
      <c r="A421" s="189">
        <f t="shared" si="25"/>
        <v>347</v>
      </c>
      <c r="B421" s="78">
        <v>751</v>
      </c>
      <c r="C421" s="79" t="s">
        <v>154</v>
      </c>
      <c r="D421" s="60"/>
      <c r="E421" s="73"/>
      <c r="F421" s="177"/>
      <c r="G421" s="177"/>
      <c r="H421" s="177"/>
      <c r="I421" s="177"/>
      <c r="J421" s="106"/>
      <c r="K421" s="133"/>
    </row>
    <row r="422" spans="1:11" s="72" customFormat="1" ht="12.75">
      <c r="A422" s="189">
        <f t="shared" si="25"/>
        <v>348</v>
      </c>
      <c r="B422" s="79"/>
      <c r="C422" s="85" t="s">
        <v>155</v>
      </c>
      <c r="D422" s="60"/>
      <c r="E422" s="73"/>
      <c r="F422" s="177"/>
      <c r="G422" s="177"/>
      <c r="H422" s="177"/>
      <c r="I422" s="177"/>
      <c r="J422" s="106"/>
      <c r="K422" s="133"/>
    </row>
    <row r="423" spans="1:11" s="72" customFormat="1" ht="12.75">
      <c r="A423" s="189">
        <f t="shared" si="25"/>
        <v>349</v>
      </c>
      <c r="B423" s="79"/>
      <c r="C423" s="85" t="s">
        <v>156</v>
      </c>
      <c r="D423" s="60"/>
      <c r="E423" s="61" t="e">
        <f>E425+#REF!+#REF!</f>
        <v>#REF!</v>
      </c>
      <c r="F423" s="60">
        <f>F425+F429</f>
        <v>24984</v>
      </c>
      <c r="G423" s="161">
        <f>H423-F423</f>
        <v>0</v>
      </c>
      <c r="H423" s="60">
        <f>H425+H429</f>
        <v>24984</v>
      </c>
      <c r="I423" s="60">
        <f>I425+I429</f>
        <v>1104</v>
      </c>
      <c r="J423" s="213">
        <f>I423/H423</f>
        <v>0.04418828049951969</v>
      </c>
      <c r="K423" s="136">
        <f>I423/I$54</f>
        <v>3.337805676493282E-05</v>
      </c>
    </row>
    <row r="424" spans="1:11" ht="12.75">
      <c r="A424" s="189">
        <f t="shared" si="25"/>
        <v>350</v>
      </c>
      <c r="B424" s="10">
        <v>75101</v>
      </c>
      <c r="C424" s="70" t="s">
        <v>157</v>
      </c>
      <c r="D424" s="26"/>
      <c r="E424" s="46"/>
      <c r="F424" s="180"/>
      <c r="G424" s="161">
        <f>H424-F424</f>
        <v>0</v>
      </c>
      <c r="H424" s="180"/>
      <c r="I424" s="180"/>
      <c r="J424" s="213"/>
      <c r="K424" s="136"/>
    </row>
    <row r="425" spans="1:11" ht="12.75">
      <c r="A425" s="189">
        <f t="shared" si="25"/>
        <v>351</v>
      </c>
      <c r="B425" s="10"/>
      <c r="C425" s="70" t="s">
        <v>158</v>
      </c>
      <c r="D425" s="26"/>
      <c r="E425" s="46">
        <f>SUM(E426:E428)</f>
        <v>176</v>
      </c>
      <c r="F425" s="27">
        <f>SUM(F426:F428)</f>
        <v>1104</v>
      </c>
      <c r="G425" s="161">
        <f>H425-F425</f>
        <v>0</v>
      </c>
      <c r="H425" s="27">
        <f>SUM(H426:H428)</f>
        <v>1104</v>
      </c>
      <c r="I425" s="27">
        <f>SUM(I426:I428)</f>
        <v>1104</v>
      </c>
      <c r="J425" s="217">
        <f>I425/H425</f>
        <v>1</v>
      </c>
      <c r="K425" s="139">
        <f>I425/I$54</f>
        <v>3.337805676493282E-05</v>
      </c>
    </row>
    <row r="426" spans="1:11" ht="12.75">
      <c r="A426" s="189">
        <f t="shared" si="25"/>
        <v>352</v>
      </c>
      <c r="B426" s="4">
        <v>4110</v>
      </c>
      <c r="C426" s="84" t="s">
        <v>35</v>
      </c>
      <c r="D426" s="26"/>
      <c r="E426" s="48">
        <v>155</v>
      </c>
      <c r="F426" s="161">
        <v>159</v>
      </c>
      <c r="G426" s="161">
        <f>H426-F426</f>
        <v>0</v>
      </c>
      <c r="H426" s="161">
        <v>159</v>
      </c>
      <c r="I426" s="161">
        <v>159</v>
      </c>
      <c r="J426" s="106">
        <f>I426/H426</f>
        <v>1</v>
      </c>
      <c r="K426" s="133">
        <f>I426/I$54</f>
        <v>4.807165784079998E-06</v>
      </c>
    </row>
    <row r="427" spans="1:11" ht="15" customHeight="1">
      <c r="A427" s="189">
        <f t="shared" si="25"/>
        <v>353</v>
      </c>
      <c r="B427" s="4">
        <v>4120</v>
      </c>
      <c r="C427" s="84" t="s">
        <v>36</v>
      </c>
      <c r="D427" s="26"/>
      <c r="E427" s="48">
        <v>21</v>
      </c>
      <c r="F427" s="161">
        <v>23</v>
      </c>
      <c r="G427" s="161">
        <f>H427-F427</f>
        <v>0</v>
      </c>
      <c r="H427" s="161">
        <v>23</v>
      </c>
      <c r="I427" s="161">
        <v>23</v>
      </c>
      <c r="J427" s="106">
        <f>I427/H427</f>
        <v>1</v>
      </c>
      <c r="K427" s="133">
        <f>I427/I$54</f>
        <v>6.95376182602767E-07</v>
      </c>
    </row>
    <row r="428" spans="1:11" ht="15" customHeight="1">
      <c r="A428" s="189">
        <f aca="true" t="shared" si="33" ref="A428:A496">A427+1</f>
        <v>354</v>
      </c>
      <c r="B428" s="4">
        <v>4170</v>
      </c>
      <c r="C428" s="84" t="s">
        <v>288</v>
      </c>
      <c r="D428" s="26"/>
      <c r="E428" s="48"/>
      <c r="F428" s="161">
        <v>922</v>
      </c>
      <c r="G428" s="161"/>
      <c r="H428" s="161">
        <v>922</v>
      </c>
      <c r="I428" s="161">
        <v>922</v>
      </c>
      <c r="J428" s="106">
        <f>I428/H428</f>
        <v>1</v>
      </c>
      <c r="K428" s="133">
        <f>I428/I$54</f>
        <v>2.7875514798250052E-05</v>
      </c>
    </row>
    <row r="429" spans="1:11" ht="12.75">
      <c r="A429" s="189">
        <f t="shared" si="33"/>
        <v>355</v>
      </c>
      <c r="B429" s="64">
        <v>75109</v>
      </c>
      <c r="C429" s="70" t="s">
        <v>324</v>
      </c>
      <c r="D429" s="26"/>
      <c r="E429" s="48"/>
      <c r="F429" s="174">
        <f>SUM(F430:F436)</f>
        <v>23880</v>
      </c>
      <c r="G429" s="174"/>
      <c r="H429" s="174">
        <f>SUM(H430:H436)</f>
        <v>23880</v>
      </c>
      <c r="I429" s="174">
        <f>SUM(I430:I436)</f>
        <v>0</v>
      </c>
      <c r="J429" s="106"/>
      <c r="K429" s="133">
        <f aca="true" t="shared" si="34" ref="K429:K436">I429/I$54</f>
        <v>0</v>
      </c>
    </row>
    <row r="430" spans="1:11" ht="12.75">
      <c r="A430" s="189">
        <f t="shared" si="33"/>
        <v>356</v>
      </c>
      <c r="B430" s="4">
        <v>3030</v>
      </c>
      <c r="C430" s="84" t="s">
        <v>41</v>
      </c>
      <c r="D430" s="26"/>
      <c r="E430" s="48"/>
      <c r="F430" s="161">
        <v>13820</v>
      </c>
      <c r="G430" s="161"/>
      <c r="H430" s="161">
        <v>13820</v>
      </c>
      <c r="I430" s="161">
        <v>0</v>
      </c>
      <c r="J430" s="106"/>
      <c r="K430" s="133">
        <f t="shared" si="34"/>
        <v>0</v>
      </c>
    </row>
    <row r="431" spans="1:11" ht="12.75">
      <c r="A431" s="189">
        <f t="shared" si="33"/>
        <v>357</v>
      </c>
      <c r="B431" s="4">
        <v>4110</v>
      </c>
      <c r="C431" s="84" t="s">
        <v>35</v>
      </c>
      <c r="D431" s="26"/>
      <c r="E431" s="48"/>
      <c r="F431" s="161">
        <v>609</v>
      </c>
      <c r="G431" s="161"/>
      <c r="H431" s="161">
        <v>609</v>
      </c>
      <c r="I431" s="161">
        <v>0</v>
      </c>
      <c r="J431" s="106"/>
      <c r="K431" s="133">
        <f t="shared" si="34"/>
        <v>0</v>
      </c>
    </row>
    <row r="432" spans="1:11" ht="12.75">
      <c r="A432" s="189">
        <f t="shared" si="33"/>
        <v>358</v>
      </c>
      <c r="B432" s="4">
        <v>4120</v>
      </c>
      <c r="C432" s="84" t="s">
        <v>36</v>
      </c>
      <c r="D432" s="26"/>
      <c r="E432" s="48"/>
      <c r="F432" s="161">
        <v>87</v>
      </c>
      <c r="G432" s="161"/>
      <c r="H432" s="161">
        <v>87</v>
      </c>
      <c r="I432" s="161">
        <v>0</v>
      </c>
      <c r="J432" s="106"/>
      <c r="K432" s="133">
        <f t="shared" si="34"/>
        <v>0</v>
      </c>
    </row>
    <row r="433" spans="1:11" ht="12.75">
      <c r="A433" s="189">
        <f t="shared" si="33"/>
        <v>359</v>
      </c>
      <c r="B433" s="4">
        <v>4170</v>
      </c>
      <c r="C433" s="84" t="s">
        <v>288</v>
      </c>
      <c r="D433" s="26"/>
      <c r="E433" s="48"/>
      <c r="F433" s="161">
        <v>3539</v>
      </c>
      <c r="G433" s="161"/>
      <c r="H433" s="161">
        <v>3539</v>
      </c>
      <c r="I433" s="161">
        <v>0</v>
      </c>
      <c r="J433" s="106"/>
      <c r="K433" s="133">
        <f t="shared" si="34"/>
        <v>0</v>
      </c>
    </row>
    <row r="434" spans="1:11" ht="12.75">
      <c r="A434" s="189">
        <f t="shared" si="33"/>
        <v>360</v>
      </c>
      <c r="B434" s="15">
        <v>4210</v>
      </c>
      <c r="C434" s="127" t="s">
        <v>162</v>
      </c>
      <c r="D434" s="26"/>
      <c r="E434" s="48"/>
      <c r="F434" s="161">
        <v>2143</v>
      </c>
      <c r="G434" s="161"/>
      <c r="H434" s="161">
        <v>2143</v>
      </c>
      <c r="I434" s="161">
        <v>0</v>
      </c>
      <c r="J434" s="106"/>
      <c r="K434" s="133">
        <f t="shared" si="34"/>
        <v>0</v>
      </c>
    </row>
    <row r="435" spans="1:11" ht="12.75">
      <c r="A435" s="189">
        <f t="shared" si="33"/>
        <v>361</v>
      </c>
      <c r="B435" s="15">
        <v>4300</v>
      </c>
      <c r="C435" s="127" t="s">
        <v>160</v>
      </c>
      <c r="D435" s="26"/>
      <c r="E435" s="48"/>
      <c r="F435" s="161">
        <v>2982</v>
      </c>
      <c r="G435" s="161"/>
      <c r="H435" s="161">
        <v>2982</v>
      </c>
      <c r="I435" s="161">
        <v>0</v>
      </c>
      <c r="J435" s="106"/>
      <c r="K435" s="133">
        <f t="shared" si="34"/>
        <v>0</v>
      </c>
    </row>
    <row r="436" spans="1:11" ht="12.75">
      <c r="A436" s="189">
        <f t="shared" si="33"/>
        <v>362</v>
      </c>
      <c r="B436" s="15">
        <v>4410</v>
      </c>
      <c r="C436" s="127" t="s">
        <v>32</v>
      </c>
      <c r="D436" s="26"/>
      <c r="E436" s="48"/>
      <c r="F436" s="161">
        <v>700</v>
      </c>
      <c r="G436" s="161"/>
      <c r="H436" s="161">
        <v>700</v>
      </c>
      <c r="I436" s="161">
        <v>0</v>
      </c>
      <c r="J436" s="106"/>
      <c r="K436" s="133">
        <f t="shared" si="34"/>
        <v>0</v>
      </c>
    </row>
    <row r="437" spans="1:11" s="72" customFormat="1" ht="12.75">
      <c r="A437" s="189">
        <f>A436+1</f>
        <v>363</v>
      </c>
      <c r="B437" s="78">
        <v>752</v>
      </c>
      <c r="C437" s="85" t="s">
        <v>298</v>
      </c>
      <c r="D437" s="60"/>
      <c r="E437" s="73"/>
      <c r="F437" s="177">
        <f>F438</f>
        <v>0</v>
      </c>
      <c r="G437" s="177"/>
      <c r="H437" s="177">
        <f>H438</f>
        <v>0</v>
      </c>
      <c r="I437" s="177">
        <f>I438</f>
        <v>0</v>
      </c>
      <c r="J437" s="213"/>
      <c r="K437" s="136">
        <f>I437/I$54</f>
        <v>0</v>
      </c>
    </row>
    <row r="438" spans="1:11" s="75" customFormat="1" ht="12.75">
      <c r="A438" s="189">
        <f t="shared" si="33"/>
        <v>364</v>
      </c>
      <c r="B438" s="146">
        <v>75212</v>
      </c>
      <c r="C438" s="146" t="s">
        <v>299</v>
      </c>
      <c r="D438" s="65"/>
      <c r="E438" s="74"/>
      <c r="F438" s="174">
        <f>F439</f>
        <v>0</v>
      </c>
      <c r="G438" s="174"/>
      <c r="H438" s="174">
        <f>H439</f>
        <v>0</v>
      </c>
      <c r="I438" s="174">
        <f>I439</f>
        <v>0</v>
      </c>
      <c r="J438" s="217"/>
      <c r="K438" s="139">
        <f>I438/I$54</f>
        <v>0</v>
      </c>
    </row>
    <row r="439" spans="1:11" ht="12.75">
      <c r="A439" s="189">
        <f t="shared" si="33"/>
        <v>365</v>
      </c>
      <c r="B439" s="15">
        <v>4300</v>
      </c>
      <c r="C439" s="127" t="s">
        <v>160</v>
      </c>
      <c r="D439" s="26"/>
      <c r="E439" s="48"/>
      <c r="F439" s="161">
        <v>0</v>
      </c>
      <c r="G439" s="161"/>
      <c r="H439" s="161">
        <v>0</v>
      </c>
      <c r="I439" s="161">
        <v>0</v>
      </c>
      <c r="J439" s="106"/>
      <c r="K439" s="133">
        <f>I439/I$54</f>
        <v>0</v>
      </c>
    </row>
    <row r="440" spans="1:11" s="72" customFormat="1" ht="12.75">
      <c r="A440" s="189">
        <f t="shared" si="33"/>
        <v>366</v>
      </c>
      <c r="B440" s="78">
        <v>754</v>
      </c>
      <c r="C440" s="85" t="s">
        <v>131</v>
      </c>
      <c r="D440" s="60"/>
      <c r="E440" s="73"/>
      <c r="F440" s="177"/>
      <c r="G440" s="177"/>
      <c r="H440" s="177"/>
      <c r="I440" s="177"/>
      <c r="J440" s="106"/>
      <c r="K440" s="133"/>
    </row>
    <row r="441" spans="1:11" s="72" customFormat="1" ht="12.75">
      <c r="A441" s="189">
        <f t="shared" si="33"/>
        <v>367</v>
      </c>
      <c r="B441" s="79"/>
      <c r="C441" s="85" t="s">
        <v>132</v>
      </c>
      <c r="D441" s="60"/>
      <c r="E441" s="61" t="e">
        <f>E442+E452+E457+E481+E490</f>
        <v>#REF!</v>
      </c>
      <c r="F441" s="60">
        <f>F442+F452+F457+F481+F490+F513</f>
        <v>701610</v>
      </c>
      <c r="G441" s="60" t="e">
        <f>G442+G452+G457+G481+G490</f>
        <v>#REF!</v>
      </c>
      <c r="H441" s="60">
        <f>H442+H452+H457+H481+H490+H513</f>
        <v>695636.3</v>
      </c>
      <c r="I441" s="60">
        <f>I442+I452+I457+I481+I490+I513</f>
        <v>571713</v>
      </c>
      <c r="J441" s="213">
        <f>I441/H441</f>
        <v>0.8218561912309637</v>
      </c>
      <c r="K441" s="136">
        <f>I441/I$54</f>
        <v>0.01728502623845112</v>
      </c>
    </row>
    <row r="442" spans="1:11" s="75" customFormat="1" ht="12.75">
      <c r="A442" s="189">
        <f t="shared" si="33"/>
        <v>368</v>
      </c>
      <c r="B442" s="77">
        <v>75405</v>
      </c>
      <c r="C442" s="128" t="s">
        <v>114</v>
      </c>
      <c r="D442" s="65"/>
      <c r="E442" s="74" t="e">
        <f>#REF!</f>
        <v>#REF!</v>
      </c>
      <c r="F442" s="174">
        <f>F445+F448</f>
        <v>68100</v>
      </c>
      <c r="G442" s="174" t="e">
        <f>#REF!</f>
        <v>#REF!</v>
      </c>
      <c r="H442" s="174">
        <f>H445+H448</f>
        <v>68100</v>
      </c>
      <c r="I442" s="174">
        <f>I445+I448</f>
        <v>50000</v>
      </c>
      <c r="J442" s="217">
        <f>I442/H442</f>
        <v>0.7342143906020558</v>
      </c>
      <c r="K442" s="139">
        <f>I442/I$54</f>
        <v>0.0015116873534842762</v>
      </c>
    </row>
    <row r="443" spans="1:11" s="62" customFormat="1" ht="12.75">
      <c r="A443" s="189">
        <f t="shared" si="33"/>
        <v>369</v>
      </c>
      <c r="B443" s="86">
        <v>3000</v>
      </c>
      <c r="C443" s="127" t="s">
        <v>325</v>
      </c>
      <c r="D443" s="89"/>
      <c r="E443" s="88"/>
      <c r="F443" s="170"/>
      <c r="G443" s="170"/>
      <c r="H443" s="170"/>
      <c r="I443" s="170"/>
      <c r="J443" s="106"/>
      <c r="K443" s="133"/>
    </row>
    <row r="444" spans="1:11" s="62" customFormat="1" ht="12.75">
      <c r="A444" s="189">
        <f t="shared" si="33"/>
        <v>370</v>
      </c>
      <c r="B444" s="86"/>
      <c r="C444" s="127" t="s">
        <v>628</v>
      </c>
      <c r="D444" s="89"/>
      <c r="E444" s="88"/>
      <c r="F444" s="89"/>
      <c r="G444" s="170"/>
      <c r="H444" s="170"/>
      <c r="I444" s="170"/>
      <c r="J444" s="106"/>
      <c r="K444" s="133"/>
    </row>
    <row r="445" spans="1:11" s="62" customFormat="1" ht="12.75">
      <c r="A445" s="189">
        <f t="shared" si="33"/>
        <v>371</v>
      </c>
      <c r="B445" s="145"/>
      <c r="C445" s="62" t="s">
        <v>629</v>
      </c>
      <c r="D445" s="89"/>
      <c r="E445" s="88"/>
      <c r="F445" s="89">
        <v>30000</v>
      </c>
      <c r="G445" s="170"/>
      <c r="H445" s="170">
        <v>30000</v>
      </c>
      <c r="I445" s="170">
        <f>30000+70000-50000</f>
        <v>50000</v>
      </c>
      <c r="J445" s="106">
        <f>I445/H445</f>
        <v>1.6666666666666667</v>
      </c>
      <c r="K445" s="133">
        <f>I445/I$54</f>
        <v>0.0015116873534842762</v>
      </c>
    </row>
    <row r="446" spans="1:11" s="62" customFormat="1" ht="12.75">
      <c r="A446" s="189">
        <f t="shared" si="33"/>
        <v>372</v>
      </c>
      <c r="B446" s="86">
        <v>6170</v>
      </c>
      <c r="C446" s="127" t="s">
        <v>325</v>
      </c>
      <c r="D446" s="89"/>
      <c r="E446" s="88"/>
      <c r="F446" s="170"/>
      <c r="G446" s="170"/>
      <c r="H446" s="170"/>
      <c r="I446" s="170"/>
      <c r="J446" s="106"/>
      <c r="K446" s="133"/>
    </row>
    <row r="447" spans="1:11" s="62" customFormat="1" ht="12.75">
      <c r="A447" s="189">
        <f t="shared" si="33"/>
        <v>373</v>
      </c>
      <c r="B447" s="86"/>
      <c r="C447" s="127" t="s">
        <v>363</v>
      </c>
      <c r="D447" s="89"/>
      <c r="E447" s="88"/>
      <c r="F447" s="170"/>
      <c r="G447" s="170"/>
      <c r="H447" s="170"/>
      <c r="I447" s="170"/>
      <c r="J447" s="106"/>
      <c r="K447" s="133"/>
    </row>
    <row r="448" spans="1:11" s="62" customFormat="1" ht="12.75">
      <c r="A448" s="189">
        <f t="shared" si="33"/>
        <v>374</v>
      </c>
      <c r="B448" s="86"/>
      <c r="C448" s="127" t="s">
        <v>364</v>
      </c>
      <c r="D448" s="89"/>
      <c r="E448" s="88"/>
      <c r="F448" s="170">
        <f>SUM(F450:F451)</f>
        <v>38100</v>
      </c>
      <c r="G448" s="170"/>
      <c r="H448" s="170">
        <f>SUM(H450:H451)</f>
        <v>38100</v>
      </c>
      <c r="I448" s="170">
        <f>SUM(I450:I451)</f>
        <v>0</v>
      </c>
      <c r="J448" s="106"/>
      <c r="K448" s="133">
        <f>I448/I$54</f>
        <v>0</v>
      </c>
    </row>
    <row r="449" spans="1:11" s="62" customFormat="1" ht="12.75">
      <c r="A449" s="189">
        <f t="shared" si="33"/>
        <v>375</v>
      </c>
      <c r="B449" s="86"/>
      <c r="C449" s="127" t="s">
        <v>16</v>
      </c>
      <c r="D449" s="89"/>
      <c r="E449" s="88"/>
      <c r="F449" s="170"/>
      <c r="G449" s="170"/>
      <c r="H449" s="170"/>
      <c r="I449" s="170"/>
      <c r="J449" s="106"/>
      <c r="K449" s="133"/>
    </row>
    <row r="450" spans="1:11" s="62" customFormat="1" ht="12.75">
      <c r="A450" s="189">
        <f t="shared" si="33"/>
        <v>376</v>
      </c>
      <c r="B450" s="86"/>
      <c r="C450" s="127" t="s">
        <v>452</v>
      </c>
      <c r="D450" s="89"/>
      <c r="E450" s="88"/>
      <c r="F450" s="170">
        <v>18600</v>
      </c>
      <c r="G450" s="170"/>
      <c r="H450" s="170">
        <v>18600</v>
      </c>
      <c r="I450" s="170">
        <v>0</v>
      </c>
      <c r="J450" s="106"/>
      <c r="K450" s="133">
        <f>I450/I$54</f>
        <v>0</v>
      </c>
    </row>
    <row r="451" spans="1:11" s="62" customFormat="1" ht="12.75">
      <c r="A451" s="189">
        <f t="shared" si="33"/>
        <v>377</v>
      </c>
      <c r="B451" s="86"/>
      <c r="C451" s="127" t="s">
        <v>453</v>
      </c>
      <c r="D451" s="89"/>
      <c r="E451" s="88"/>
      <c r="F451" s="170">
        <v>19500</v>
      </c>
      <c r="G451" s="170"/>
      <c r="H451" s="170">
        <v>19500</v>
      </c>
      <c r="I451" s="170">
        <v>0</v>
      </c>
      <c r="J451" s="106"/>
      <c r="K451" s="133">
        <f>I451/I$54</f>
        <v>0</v>
      </c>
    </row>
    <row r="452" spans="1:11" s="82" customFormat="1" ht="12.75">
      <c r="A452" s="189">
        <f t="shared" si="33"/>
        <v>378</v>
      </c>
      <c r="B452" s="77">
        <v>75411</v>
      </c>
      <c r="C452" s="128" t="s">
        <v>256</v>
      </c>
      <c r="D452" s="80"/>
      <c r="E452" s="81" t="e">
        <f>#REF!</f>
        <v>#REF!</v>
      </c>
      <c r="F452" s="80">
        <f>F456</f>
        <v>25000</v>
      </c>
      <c r="G452" s="80" t="e">
        <f>#REF!+#REF!</f>
        <v>#REF!</v>
      </c>
      <c r="H452" s="80">
        <f>H456</f>
        <v>25000</v>
      </c>
      <c r="I452" s="80">
        <f>I456</f>
        <v>0</v>
      </c>
      <c r="J452" s="217">
        <f>I452/H452</f>
        <v>0</v>
      </c>
      <c r="K452" s="139">
        <f>I452/I$54</f>
        <v>0</v>
      </c>
    </row>
    <row r="453" spans="1:11" ht="12.75">
      <c r="A453" s="189">
        <f t="shared" si="33"/>
        <v>379</v>
      </c>
      <c r="B453" s="86">
        <v>6620</v>
      </c>
      <c r="C453" s="127" t="s">
        <v>307</v>
      </c>
      <c r="D453" s="26"/>
      <c r="E453" s="48"/>
      <c r="F453" s="161"/>
      <c r="G453" s="161"/>
      <c r="H453" s="161"/>
      <c r="I453" s="161"/>
      <c r="J453" s="106"/>
      <c r="K453" s="133"/>
    </row>
    <row r="454" spans="1:11" ht="12.75">
      <c r="A454" s="189">
        <f t="shared" si="33"/>
        <v>380</v>
      </c>
      <c r="B454" s="86"/>
      <c r="C454" s="127" t="s">
        <v>308</v>
      </c>
      <c r="D454" s="26"/>
      <c r="E454" s="48"/>
      <c r="F454" s="161"/>
      <c r="G454" s="161"/>
      <c r="H454" s="161"/>
      <c r="I454" s="161"/>
      <c r="J454" s="106"/>
      <c r="K454" s="133"/>
    </row>
    <row r="455" spans="1:11" ht="12.75">
      <c r="A455" s="189">
        <f t="shared" si="33"/>
        <v>381</v>
      </c>
      <c r="B455" s="86"/>
      <c r="C455" s="127" t="s">
        <v>309</v>
      </c>
      <c r="D455" s="26"/>
      <c r="E455" s="48"/>
      <c r="F455" s="161"/>
      <c r="G455" s="161"/>
      <c r="H455" s="161"/>
      <c r="I455" s="161"/>
      <c r="J455" s="106"/>
      <c r="K455" s="133"/>
    </row>
    <row r="456" spans="1:11" ht="12.75">
      <c r="A456" s="189">
        <f t="shared" si="33"/>
        <v>382</v>
      </c>
      <c r="B456" s="86"/>
      <c r="C456" s="127" t="s">
        <v>454</v>
      </c>
      <c r="D456" s="26"/>
      <c r="E456" s="48"/>
      <c r="F456" s="161">
        <f>5000+20000</f>
        <v>25000</v>
      </c>
      <c r="G456" s="161"/>
      <c r="H456" s="161">
        <v>25000</v>
      </c>
      <c r="I456" s="161">
        <v>0</v>
      </c>
      <c r="J456" s="106"/>
      <c r="K456" s="133">
        <f>I456/I$54</f>
        <v>0</v>
      </c>
    </row>
    <row r="457" spans="1:11" s="75" customFormat="1" ht="12.75">
      <c r="A457" s="189">
        <f t="shared" si="33"/>
        <v>383</v>
      </c>
      <c r="B457" s="77">
        <v>75412</v>
      </c>
      <c r="C457" s="128" t="s">
        <v>29</v>
      </c>
      <c r="D457" s="65"/>
      <c r="E457" s="66">
        <f>SUM(E458:E470)</f>
        <v>53500</v>
      </c>
      <c r="F457" s="65">
        <f>F458+F459+F460+F461+F462+F463+F464+F465+F466+F467+F468+F469+F470+F471+F475</f>
        <v>246209</v>
      </c>
      <c r="G457" s="65">
        <f>SUM(G458:G470)</f>
        <v>-0.8000000000000114</v>
      </c>
      <c r="H457" s="65">
        <f>H458+H459+H460+H461+H462+H463+H464+H465+H466+H467+H468+H469+H470+H471+H475</f>
        <v>246208.2</v>
      </c>
      <c r="I457" s="65">
        <f>I458+I459+I460+I461+I462+I463+I464+I465+I466+I467+I468+I469+I470+I471+I475</f>
        <v>126039</v>
      </c>
      <c r="J457" s="217">
        <f aca="true" t="shared" si="35" ref="J457:J471">I457/H457</f>
        <v>0.5119203990768788</v>
      </c>
      <c r="K457" s="139">
        <f aca="true" t="shared" si="36" ref="K457:K463">I457/I$54</f>
        <v>0.0038106312469160936</v>
      </c>
    </row>
    <row r="458" spans="1:11" ht="12.75">
      <c r="A458" s="189">
        <f t="shared" si="33"/>
        <v>384</v>
      </c>
      <c r="B458" s="4">
        <v>3020</v>
      </c>
      <c r="C458" s="84" t="s">
        <v>297</v>
      </c>
      <c r="D458" s="26"/>
      <c r="E458" s="48">
        <v>3500</v>
      </c>
      <c r="F458" s="161">
        <v>3000</v>
      </c>
      <c r="G458" s="161">
        <f aca="true" t="shared" si="37" ref="G458:G509">H458-F458</f>
        <v>0</v>
      </c>
      <c r="H458" s="161">
        <v>3000</v>
      </c>
      <c r="I458" s="161">
        <v>3000</v>
      </c>
      <c r="J458" s="106">
        <f t="shared" si="35"/>
        <v>1</v>
      </c>
      <c r="K458" s="133">
        <f t="shared" si="36"/>
        <v>9.070124120905656E-05</v>
      </c>
    </row>
    <row r="459" spans="1:11" s="20" customFormat="1" ht="12.75">
      <c r="A459" s="189">
        <f t="shared" si="33"/>
        <v>385</v>
      </c>
      <c r="B459" s="14">
        <v>4010</v>
      </c>
      <c r="C459" s="84" t="s">
        <v>30</v>
      </c>
      <c r="D459" s="29"/>
      <c r="E459" s="48">
        <v>18100</v>
      </c>
      <c r="F459" s="161">
        <v>17500</v>
      </c>
      <c r="G459" s="161">
        <f t="shared" si="37"/>
        <v>0</v>
      </c>
      <c r="H459" s="161">
        <v>17500</v>
      </c>
      <c r="I459" s="161">
        <v>23500</v>
      </c>
      <c r="J459" s="106">
        <f t="shared" si="35"/>
        <v>1.3428571428571427</v>
      </c>
      <c r="K459" s="133">
        <f t="shared" si="36"/>
        <v>0.0007104930561376097</v>
      </c>
    </row>
    <row r="460" spans="1:11" s="20" customFormat="1" ht="12.75">
      <c r="A460" s="189">
        <f t="shared" si="33"/>
        <v>386</v>
      </c>
      <c r="B460" s="14">
        <v>4040</v>
      </c>
      <c r="C460" s="84" t="s">
        <v>31</v>
      </c>
      <c r="D460" s="29"/>
      <c r="E460" s="48">
        <v>1400</v>
      </c>
      <c r="F460" s="161">
        <v>475</v>
      </c>
      <c r="G460" s="161">
        <f t="shared" si="37"/>
        <v>-0.8000000000000114</v>
      </c>
      <c r="H460" s="161">
        <v>474.2</v>
      </c>
      <c r="I460" s="161">
        <v>960</v>
      </c>
      <c r="J460" s="106">
        <f t="shared" si="35"/>
        <v>2.0244622522142555</v>
      </c>
      <c r="K460" s="133">
        <f t="shared" si="36"/>
        <v>2.9024397186898102E-05</v>
      </c>
    </row>
    <row r="461" spans="1:11" ht="12.75">
      <c r="A461" s="189">
        <f t="shared" si="33"/>
        <v>387</v>
      </c>
      <c r="B461" s="4">
        <v>4110</v>
      </c>
      <c r="C461" s="84" t="s">
        <v>35</v>
      </c>
      <c r="D461" s="26"/>
      <c r="E461" s="48">
        <v>3500</v>
      </c>
      <c r="F461" s="161">
        <v>3100</v>
      </c>
      <c r="G461" s="161">
        <f t="shared" si="37"/>
        <v>0</v>
      </c>
      <c r="H461" s="161">
        <v>3100</v>
      </c>
      <c r="I461" s="161">
        <v>4300</v>
      </c>
      <c r="J461" s="106">
        <f t="shared" si="35"/>
        <v>1.3870967741935485</v>
      </c>
      <c r="K461" s="133">
        <f t="shared" si="36"/>
        <v>0.00013000511239964773</v>
      </c>
    </row>
    <row r="462" spans="1:11" ht="12.75">
      <c r="A462" s="189">
        <f t="shared" si="33"/>
        <v>388</v>
      </c>
      <c r="B462" s="4">
        <v>4120</v>
      </c>
      <c r="C462" s="84" t="s">
        <v>36</v>
      </c>
      <c r="D462" s="26"/>
      <c r="E462" s="48">
        <v>500</v>
      </c>
      <c r="F462" s="161">
        <v>500</v>
      </c>
      <c r="G462" s="161">
        <f t="shared" si="37"/>
        <v>0</v>
      </c>
      <c r="H462" s="161">
        <v>500</v>
      </c>
      <c r="I462" s="161">
        <v>600</v>
      </c>
      <c r="J462" s="106">
        <f t="shared" si="35"/>
        <v>1.2</v>
      </c>
      <c r="K462" s="133">
        <f t="shared" si="36"/>
        <v>1.8140248241811312E-05</v>
      </c>
    </row>
    <row r="463" spans="1:11" ht="12.75">
      <c r="A463" s="189">
        <f t="shared" si="33"/>
        <v>389</v>
      </c>
      <c r="B463" s="4">
        <v>4140</v>
      </c>
      <c r="C463" s="84" t="s">
        <v>187</v>
      </c>
      <c r="D463" s="26"/>
      <c r="E463" s="48">
        <v>200</v>
      </c>
      <c r="F463" s="161">
        <v>430</v>
      </c>
      <c r="G463" s="161">
        <f t="shared" si="37"/>
        <v>0</v>
      </c>
      <c r="H463" s="161">
        <v>430</v>
      </c>
      <c r="I463" s="161">
        <v>500</v>
      </c>
      <c r="J463" s="106">
        <f t="shared" si="35"/>
        <v>1.1627906976744187</v>
      </c>
      <c r="K463" s="133">
        <f t="shared" si="36"/>
        <v>1.5116873534842761E-05</v>
      </c>
    </row>
    <row r="464" spans="1:11" ht="12.75">
      <c r="A464" s="189">
        <f t="shared" si="33"/>
        <v>390</v>
      </c>
      <c r="B464" s="4">
        <v>4210</v>
      </c>
      <c r="C464" s="84" t="s">
        <v>162</v>
      </c>
      <c r="D464" s="26"/>
      <c r="E464" s="48">
        <v>9500</v>
      </c>
      <c r="F464" s="161">
        <v>23900</v>
      </c>
      <c r="G464" s="161">
        <f t="shared" si="37"/>
        <v>0</v>
      </c>
      <c r="H464" s="161">
        <v>23900</v>
      </c>
      <c r="I464" s="161">
        <v>23900</v>
      </c>
      <c r="J464" s="106">
        <f t="shared" si="35"/>
        <v>1</v>
      </c>
      <c r="K464" s="133">
        <f aca="true" t="shared" si="38" ref="K464:K493">I464/I$54</f>
        <v>0.0007225865549654839</v>
      </c>
    </row>
    <row r="465" spans="1:11" ht="12.75">
      <c r="A465" s="189">
        <f t="shared" si="33"/>
        <v>391</v>
      </c>
      <c r="B465" s="4">
        <v>4260</v>
      </c>
      <c r="C465" s="84" t="s">
        <v>165</v>
      </c>
      <c r="D465" s="26"/>
      <c r="E465" s="48">
        <v>3000</v>
      </c>
      <c r="F465" s="161">
        <v>8440</v>
      </c>
      <c r="G465" s="161">
        <f t="shared" si="37"/>
        <v>0</v>
      </c>
      <c r="H465" s="161">
        <v>8440</v>
      </c>
      <c r="I465" s="161">
        <v>9500</v>
      </c>
      <c r="J465" s="106">
        <f t="shared" si="35"/>
        <v>1.1255924170616114</v>
      </c>
      <c r="K465" s="133">
        <f t="shared" si="38"/>
        <v>0.00028722059716201247</v>
      </c>
    </row>
    <row r="466" spans="1:11" ht="12.75">
      <c r="A466" s="189">
        <f t="shared" si="33"/>
        <v>392</v>
      </c>
      <c r="B466" s="4">
        <v>4270</v>
      </c>
      <c r="C466" s="84" t="s">
        <v>161</v>
      </c>
      <c r="D466" s="26"/>
      <c r="E466" s="48">
        <v>5000</v>
      </c>
      <c r="F466" s="161">
        <v>10000</v>
      </c>
      <c r="G466" s="161">
        <f t="shared" si="37"/>
        <v>0</v>
      </c>
      <c r="H466" s="161">
        <v>10000</v>
      </c>
      <c r="I466" s="161">
        <v>5000</v>
      </c>
      <c r="J466" s="106">
        <f t="shared" si="35"/>
        <v>0.5</v>
      </c>
      <c r="K466" s="133">
        <f t="shared" si="38"/>
        <v>0.0001511687353484276</v>
      </c>
    </row>
    <row r="467" spans="1:11" ht="12.75" customHeight="1">
      <c r="A467" s="189">
        <f t="shared" si="33"/>
        <v>393</v>
      </c>
      <c r="B467" s="4">
        <v>4300</v>
      </c>
      <c r="C467" s="84" t="s">
        <v>160</v>
      </c>
      <c r="D467" s="26"/>
      <c r="E467" s="48">
        <v>4000</v>
      </c>
      <c r="F467" s="161">
        <v>20740</v>
      </c>
      <c r="G467" s="161">
        <f t="shared" si="37"/>
        <v>0</v>
      </c>
      <c r="H467" s="161">
        <v>20740</v>
      </c>
      <c r="I467" s="161">
        <v>21500</v>
      </c>
      <c r="J467" s="106">
        <f t="shared" si="35"/>
        <v>1.0366441658630665</v>
      </c>
      <c r="K467" s="133">
        <f t="shared" si="38"/>
        <v>0.0006500255619982388</v>
      </c>
    </row>
    <row r="468" spans="1:11" ht="12.75">
      <c r="A468" s="189">
        <f t="shared" si="33"/>
        <v>394</v>
      </c>
      <c r="B468" s="4">
        <v>4410</v>
      </c>
      <c r="C468" s="84" t="s">
        <v>32</v>
      </c>
      <c r="D468" s="26"/>
      <c r="E468" s="48">
        <v>1200</v>
      </c>
      <c r="F468" s="161">
        <v>0</v>
      </c>
      <c r="G468" s="161">
        <f t="shared" si="37"/>
        <v>0</v>
      </c>
      <c r="H468" s="161">
        <v>0</v>
      </c>
      <c r="I468" s="161">
        <v>500</v>
      </c>
      <c r="J468" s="106"/>
      <c r="K468" s="133">
        <f t="shared" si="38"/>
        <v>1.5116873534842761E-05</v>
      </c>
    </row>
    <row r="469" spans="1:11" ht="12.75">
      <c r="A469" s="189">
        <f t="shared" si="33"/>
        <v>395</v>
      </c>
      <c r="B469" s="4">
        <v>4430</v>
      </c>
      <c r="C469" s="84" t="s">
        <v>34</v>
      </c>
      <c r="D469" s="26"/>
      <c r="E469" s="48">
        <v>3000</v>
      </c>
      <c r="F469" s="161">
        <v>12000</v>
      </c>
      <c r="G469" s="161">
        <f t="shared" si="37"/>
        <v>0</v>
      </c>
      <c r="H469" s="161">
        <v>12000</v>
      </c>
      <c r="I469" s="161">
        <v>12000</v>
      </c>
      <c r="J469" s="106">
        <f t="shared" si="35"/>
        <v>1</v>
      </c>
      <c r="K469" s="133">
        <f t="shared" si="38"/>
        <v>0.00036280496483622626</v>
      </c>
    </row>
    <row r="470" spans="1:11" ht="12.75">
      <c r="A470" s="189">
        <f t="shared" si="33"/>
        <v>396</v>
      </c>
      <c r="B470" s="4">
        <v>4440</v>
      </c>
      <c r="C470" s="84" t="s">
        <v>37</v>
      </c>
      <c r="D470" s="26"/>
      <c r="E470" s="48">
        <v>600</v>
      </c>
      <c r="F470" s="161">
        <v>764</v>
      </c>
      <c r="G470" s="161">
        <f t="shared" si="37"/>
        <v>0</v>
      </c>
      <c r="H470" s="161">
        <v>764</v>
      </c>
      <c r="I470" s="161">
        <v>779</v>
      </c>
      <c r="J470" s="106">
        <f>I470/H470</f>
        <v>1.0196335078534031</v>
      </c>
      <c r="K470" s="133">
        <f t="shared" si="38"/>
        <v>2.355208896728502E-05</v>
      </c>
    </row>
    <row r="471" spans="1:11" ht="12.75">
      <c r="A471" s="189">
        <f t="shared" si="33"/>
        <v>397</v>
      </c>
      <c r="B471" s="4">
        <v>6050</v>
      </c>
      <c r="C471" s="84" t="s">
        <v>230</v>
      </c>
      <c r="D471" s="26"/>
      <c r="E471" s="48"/>
      <c r="F471" s="161">
        <f>SUM(F473:F474)</f>
        <v>140000</v>
      </c>
      <c r="G471" s="161"/>
      <c r="H471" s="161">
        <f>SUM(H473:H474)</f>
        <v>140000</v>
      </c>
      <c r="I471" s="161">
        <f>SUM(I473:I474)</f>
        <v>20000</v>
      </c>
      <c r="J471" s="106">
        <f t="shared" si="35"/>
        <v>0.14285714285714285</v>
      </c>
      <c r="K471" s="133"/>
    </row>
    <row r="472" spans="1:11" ht="12.75">
      <c r="A472" s="189"/>
      <c r="B472" s="4"/>
      <c r="C472" s="84" t="s">
        <v>16</v>
      </c>
      <c r="D472" s="26"/>
      <c r="E472" s="48"/>
      <c r="F472" s="161"/>
      <c r="G472" s="161"/>
      <c r="H472" s="161"/>
      <c r="I472" s="161"/>
      <c r="J472" s="106"/>
      <c r="K472" s="133"/>
    </row>
    <row r="473" spans="1:11" ht="12.75">
      <c r="A473" s="189">
        <f>A471+1</f>
        <v>398</v>
      </c>
      <c r="B473" s="4"/>
      <c r="C473" s="84" t="s">
        <v>537</v>
      </c>
      <c r="D473" s="26"/>
      <c r="E473" s="48"/>
      <c r="F473" s="161">
        <v>140000</v>
      </c>
      <c r="G473" s="161"/>
      <c r="H473" s="161">
        <v>140000</v>
      </c>
      <c r="I473" s="161">
        <v>0</v>
      </c>
      <c r="J473" s="106"/>
      <c r="K473" s="133">
        <f t="shared" si="38"/>
        <v>0</v>
      </c>
    </row>
    <row r="474" spans="1:11" ht="12.75">
      <c r="A474" s="189"/>
      <c r="B474" s="4"/>
      <c r="C474" s="84" t="s">
        <v>538</v>
      </c>
      <c r="D474" s="26"/>
      <c r="E474" s="48"/>
      <c r="F474" s="161">
        <v>0</v>
      </c>
      <c r="G474" s="161"/>
      <c r="H474" s="161">
        <v>0</v>
      </c>
      <c r="I474" s="161">
        <v>20000</v>
      </c>
      <c r="J474" s="106"/>
      <c r="K474" s="133"/>
    </row>
    <row r="475" spans="1:11" ht="12.75">
      <c r="A475" s="189">
        <f>A473+1</f>
        <v>399</v>
      </c>
      <c r="B475" s="15">
        <v>6060</v>
      </c>
      <c r="C475" s="127" t="s">
        <v>183</v>
      </c>
      <c r="D475" s="26"/>
      <c r="E475" s="48"/>
      <c r="F475" s="161">
        <f>SUM(F477:F478)</f>
        <v>5360</v>
      </c>
      <c r="G475" s="161"/>
      <c r="H475" s="161">
        <f>SUM(H477:H478)</f>
        <v>5360</v>
      </c>
      <c r="I475" s="161">
        <f>SUM(I477:I478)</f>
        <v>0</v>
      </c>
      <c r="J475" s="106"/>
      <c r="K475" s="133">
        <f t="shared" si="38"/>
        <v>0</v>
      </c>
    </row>
    <row r="476" spans="1:11" ht="12.75">
      <c r="A476" s="189">
        <f t="shared" si="33"/>
        <v>400</v>
      </c>
      <c r="B476" s="15"/>
      <c r="C476" s="127" t="s">
        <v>16</v>
      </c>
      <c r="D476" s="26"/>
      <c r="E476" s="48"/>
      <c r="F476" s="161"/>
      <c r="G476" s="161"/>
      <c r="H476" s="161"/>
      <c r="I476" s="161"/>
      <c r="J476" s="106"/>
      <c r="K476" s="133"/>
    </row>
    <row r="477" spans="1:11" ht="12.75">
      <c r="A477" s="189">
        <f t="shared" si="33"/>
        <v>401</v>
      </c>
      <c r="B477" s="4"/>
      <c r="C477" s="84" t="s">
        <v>455</v>
      </c>
      <c r="D477" s="26"/>
      <c r="E477" s="48"/>
      <c r="F477" s="161">
        <v>0</v>
      </c>
      <c r="G477" s="161"/>
      <c r="H477" s="161">
        <v>0</v>
      </c>
      <c r="I477" s="161">
        <v>0</v>
      </c>
      <c r="J477" s="106"/>
      <c r="K477" s="133">
        <f t="shared" si="38"/>
        <v>0</v>
      </c>
    </row>
    <row r="478" spans="1:11" ht="12.75">
      <c r="A478" s="189">
        <f t="shared" si="33"/>
        <v>402</v>
      </c>
      <c r="B478" s="4"/>
      <c r="C478" s="84" t="s">
        <v>456</v>
      </c>
      <c r="D478" s="26"/>
      <c r="E478" s="48"/>
      <c r="F478" s="161">
        <v>5360</v>
      </c>
      <c r="G478" s="161"/>
      <c r="H478" s="161">
        <v>5360</v>
      </c>
      <c r="I478" s="161">
        <v>0</v>
      </c>
      <c r="J478" s="106"/>
      <c r="K478" s="133"/>
    </row>
    <row r="479" spans="1:11" ht="12.75">
      <c r="A479" s="189"/>
      <c r="B479" s="4"/>
      <c r="C479" s="84"/>
      <c r="D479" s="26"/>
      <c r="E479" s="48"/>
      <c r="F479" s="161"/>
      <c r="G479" s="161"/>
      <c r="H479" s="161"/>
      <c r="I479" s="161"/>
      <c r="J479" s="106"/>
      <c r="K479" s="133"/>
    </row>
    <row r="480" spans="1:11" ht="12.75">
      <c r="A480" s="189"/>
      <c r="B480" s="4"/>
      <c r="C480" s="84"/>
      <c r="D480" s="26"/>
      <c r="E480" s="48"/>
      <c r="F480" s="161"/>
      <c r="G480" s="161"/>
      <c r="H480" s="161"/>
      <c r="I480" s="161"/>
      <c r="J480" s="106"/>
      <c r="K480" s="133"/>
    </row>
    <row r="481" spans="1:11" s="75" customFormat="1" ht="12.75">
      <c r="A481" s="189">
        <f>A478+1</f>
        <v>403</v>
      </c>
      <c r="B481" s="77">
        <v>75414</v>
      </c>
      <c r="C481" s="128" t="s">
        <v>133</v>
      </c>
      <c r="D481" s="65"/>
      <c r="E481" s="66">
        <f>SUM(E482:E487)</f>
        <v>3000</v>
      </c>
      <c r="F481" s="65">
        <f>F482+F486+F487+F489</f>
        <v>12750</v>
      </c>
      <c r="G481" s="161">
        <f t="shared" si="37"/>
        <v>-0.3999999999996362</v>
      </c>
      <c r="H481" s="65">
        <f>H482+H486+H487+H489</f>
        <v>12749.6</v>
      </c>
      <c r="I481" s="65">
        <f>I482+I486+I487+I489</f>
        <v>3500</v>
      </c>
      <c r="J481" s="217">
        <f>I481/H481</f>
        <v>0.27451841626403967</v>
      </c>
      <c r="K481" s="139">
        <f t="shared" si="38"/>
        <v>0.00010581811474389933</v>
      </c>
    </row>
    <row r="482" spans="1:11" s="43" customFormat="1" ht="14.25">
      <c r="A482" s="189">
        <f t="shared" si="33"/>
        <v>404</v>
      </c>
      <c r="B482" s="15">
        <v>4210</v>
      </c>
      <c r="C482" s="127" t="s">
        <v>162</v>
      </c>
      <c r="D482" s="26"/>
      <c r="E482" s="48">
        <v>1000</v>
      </c>
      <c r="F482" s="161">
        <f>SUM(F484:F485)</f>
        <v>4727</v>
      </c>
      <c r="G482" s="161">
        <f t="shared" si="37"/>
        <v>0</v>
      </c>
      <c r="H482" s="161">
        <f>SUM(H484:H485)</f>
        <v>4727</v>
      </c>
      <c r="I482" s="161">
        <f>SUM(I484:I485)</f>
        <v>1400</v>
      </c>
      <c r="J482" s="106">
        <f>I482/H482</f>
        <v>0.29617093293843877</v>
      </c>
      <c r="K482" s="133">
        <f t="shared" si="38"/>
        <v>4.232724589755973E-05</v>
      </c>
    </row>
    <row r="483" spans="1:11" s="43" customFormat="1" ht="14.25">
      <c r="A483" s="189">
        <f t="shared" si="33"/>
        <v>405</v>
      </c>
      <c r="B483" s="15"/>
      <c r="C483" s="127" t="s">
        <v>16</v>
      </c>
      <c r="D483" s="26"/>
      <c r="E483" s="48"/>
      <c r="F483" s="161"/>
      <c r="G483" s="161"/>
      <c r="H483" s="161"/>
      <c r="I483" s="161"/>
      <c r="J483" s="106"/>
      <c r="K483" s="133"/>
    </row>
    <row r="484" spans="1:11" s="43" customFormat="1" ht="14.25">
      <c r="A484" s="189">
        <f t="shared" si="33"/>
        <v>406</v>
      </c>
      <c r="B484" s="15"/>
      <c r="C484" s="127" t="s">
        <v>457</v>
      </c>
      <c r="D484" s="26"/>
      <c r="E484" s="48"/>
      <c r="F484" s="161">
        <v>2460.5</v>
      </c>
      <c r="G484" s="161"/>
      <c r="H484" s="161">
        <v>2460.5</v>
      </c>
      <c r="I484" s="161">
        <v>1400</v>
      </c>
      <c r="J484" s="106">
        <f>I484/H484</f>
        <v>0.5689900426742532</v>
      </c>
      <c r="K484" s="133">
        <f t="shared" si="38"/>
        <v>4.232724589755973E-05</v>
      </c>
    </row>
    <row r="485" spans="1:11" s="43" customFormat="1" ht="14.25">
      <c r="A485" s="189">
        <f t="shared" si="33"/>
        <v>407</v>
      </c>
      <c r="B485" s="15"/>
      <c r="C485" s="127" t="s">
        <v>458</v>
      </c>
      <c r="D485" s="26"/>
      <c r="E485" s="48"/>
      <c r="F485" s="161">
        <v>2266.5</v>
      </c>
      <c r="G485" s="161"/>
      <c r="H485" s="161">
        <v>2266.5</v>
      </c>
      <c r="I485" s="161">
        <v>0</v>
      </c>
      <c r="J485" s="106"/>
      <c r="K485" s="133">
        <f t="shared" si="38"/>
        <v>0</v>
      </c>
    </row>
    <row r="486" spans="1:11" s="43" customFormat="1" ht="14.25">
      <c r="A486" s="189">
        <f t="shared" si="33"/>
        <v>408</v>
      </c>
      <c r="B486" s="15">
        <v>4260</v>
      </c>
      <c r="C486" s="127" t="s">
        <v>165</v>
      </c>
      <c r="D486" s="26"/>
      <c r="E486" s="48"/>
      <c r="F486" s="161">
        <v>350</v>
      </c>
      <c r="G486" s="161">
        <f t="shared" si="37"/>
        <v>0</v>
      </c>
      <c r="H486" s="161">
        <v>350</v>
      </c>
      <c r="I486" s="161">
        <v>350</v>
      </c>
      <c r="J486" s="106">
        <f>I486/H486</f>
        <v>1</v>
      </c>
      <c r="K486" s="133">
        <f t="shared" si="38"/>
        <v>1.0581811474389932E-05</v>
      </c>
    </row>
    <row r="487" spans="1:11" s="43" customFormat="1" ht="14.25">
      <c r="A487" s="189">
        <f t="shared" si="33"/>
        <v>409</v>
      </c>
      <c r="B487" s="15">
        <v>4300</v>
      </c>
      <c r="C487" s="130" t="s">
        <v>506</v>
      </c>
      <c r="D487" s="26"/>
      <c r="E487" s="48">
        <f>3000-1000</f>
        <v>2000</v>
      </c>
      <c r="F487" s="161">
        <v>3000</v>
      </c>
      <c r="G487" s="161">
        <f t="shared" si="37"/>
        <v>0</v>
      </c>
      <c r="H487" s="161">
        <v>3000</v>
      </c>
      <c r="I487" s="161">
        <v>1750</v>
      </c>
      <c r="J487" s="106">
        <f>I487/H487</f>
        <v>0.5833333333333334</v>
      </c>
      <c r="K487" s="133">
        <f t="shared" si="38"/>
        <v>5.2909057371949664E-05</v>
      </c>
    </row>
    <row r="488" spans="1:11" s="43" customFormat="1" ht="14.25">
      <c r="A488" s="189">
        <f t="shared" si="33"/>
        <v>410</v>
      </c>
      <c r="B488" s="15">
        <v>6060</v>
      </c>
      <c r="C488" s="127" t="s">
        <v>460</v>
      </c>
      <c r="D488" s="26"/>
      <c r="E488" s="48"/>
      <c r="F488" s="161"/>
      <c r="G488" s="161"/>
      <c r="H488" s="161"/>
      <c r="I488" s="161"/>
      <c r="J488" s="106"/>
      <c r="K488" s="133"/>
    </row>
    <row r="489" spans="1:11" s="43" customFormat="1" ht="14.25">
      <c r="A489" s="189">
        <f t="shared" si="33"/>
        <v>411</v>
      </c>
      <c r="B489" s="15"/>
      <c r="C489" s="127" t="s">
        <v>461</v>
      </c>
      <c r="D489" s="26"/>
      <c r="E489" s="48"/>
      <c r="F489" s="161">
        <v>4673</v>
      </c>
      <c r="G489" s="161"/>
      <c r="H489" s="161">
        <v>4672.6</v>
      </c>
      <c r="I489" s="161">
        <v>0</v>
      </c>
      <c r="J489" s="106"/>
      <c r="K489" s="133">
        <f t="shared" si="38"/>
        <v>0</v>
      </c>
    </row>
    <row r="490" spans="1:11" s="75" customFormat="1" ht="12.75">
      <c r="A490" s="189">
        <f>A489+1</f>
        <v>412</v>
      </c>
      <c r="B490" s="77">
        <v>75416</v>
      </c>
      <c r="C490" s="128" t="s">
        <v>112</v>
      </c>
      <c r="D490" s="65"/>
      <c r="E490" s="66">
        <f>SUM(E491+E495+E496+E497+E498+E499+E500+E506+E507+E508+E509)</f>
        <v>287000</v>
      </c>
      <c r="F490" s="65">
        <f>F491+F495+F496+F497+F498+F499+F500+F504+F505+F506+F507+F508+F509+F511+F512</f>
        <v>346551</v>
      </c>
      <c r="G490" s="161">
        <f t="shared" si="37"/>
        <v>-5972.5</v>
      </c>
      <c r="H490" s="65">
        <f>H491+H495+H496+H497+H498+H499+H500+H504+H505+H506+H507+H508+H509+H511+H512</f>
        <v>340578.5</v>
      </c>
      <c r="I490" s="65">
        <f>I491+I495+I496+I497+I498+I499+I500+I504+I505+I506+I507+I508+I509+I511+I512</f>
        <v>389174</v>
      </c>
      <c r="J490" s="217">
        <f>I490/H490</f>
        <v>1.1426851665621875</v>
      </c>
      <c r="K490" s="139">
        <f t="shared" si="38"/>
        <v>0.011766188282097793</v>
      </c>
    </row>
    <row r="491" spans="1:11" ht="12.75">
      <c r="A491" s="189">
        <f t="shared" si="33"/>
        <v>413</v>
      </c>
      <c r="B491" s="15">
        <v>3020</v>
      </c>
      <c r="C491" s="84" t="s">
        <v>297</v>
      </c>
      <c r="D491" s="26"/>
      <c r="E491" s="47">
        <f>SUM(E493:E494)</f>
        <v>10800</v>
      </c>
      <c r="F491" s="29">
        <f>SUM(F493:F494)</f>
        <v>8000</v>
      </c>
      <c r="G491" s="161">
        <f t="shared" si="37"/>
        <v>0</v>
      </c>
      <c r="H491" s="29">
        <f>SUM(H493:H494)</f>
        <v>8000</v>
      </c>
      <c r="I491" s="29">
        <f>SUM(I493:I494)</f>
        <v>8000</v>
      </c>
      <c r="J491" s="106">
        <f>I491/H491</f>
        <v>1</v>
      </c>
      <c r="K491" s="133">
        <f t="shared" si="38"/>
        <v>0.00024186997655748418</v>
      </c>
    </row>
    <row r="492" spans="1:11" ht="12.75">
      <c r="A492" s="189">
        <f t="shared" si="33"/>
        <v>414</v>
      </c>
      <c r="B492" s="15"/>
      <c r="C492" s="127" t="s">
        <v>16</v>
      </c>
      <c r="D492" s="26"/>
      <c r="E492" s="48"/>
      <c r="F492" s="161"/>
      <c r="G492" s="161">
        <f t="shared" si="37"/>
        <v>0</v>
      </c>
      <c r="H492" s="161"/>
      <c r="I492" s="161"/>
      <c r="J492" s="106"/>
      <c r="K492" s="133"/>
    </row>
    <row r="493" spans="1:11" ht="12.75">
      <c r="A493" s="189">
        <f t="shared" si="33"/>
        <v>415</v>
      </c>
      <c r="B493" s="15"/>
      <c r="C493" s="127" t="s">
        <v>109</v>
      </c>
      <c r="D493" s="26"/>
      <c r="E493" s="48">
        <v>4800</v>
      </c>
      <c r="F493" s="161">
        <v>0</v>
      </c>
      <c r="G493" s="161">
        <f t="shared" si="37"/>
        <v>0</v>
      </c>
      <c r="H493" s="161">
        <v>0</v>
      </c>
      <c r="I493" s="161">
        <v>0</v>
      </c>
      <c r="J493" s="106"/>
      <c r="K493" s="133">
        <f t="shared" si="38"/>
        <v>0</v>
      </c>
    </row>
    <row r="494" spans="1:11" ht="12.75">
      <c r="A494" s="189">
        <f t="shared" si="33"/>
        <v>416</v>
      </c>
      <c r="B494" s="15"/>
      <c r="C494" s="127" t="s">
        <v>110</v>
      </c>
      <c r="D494" s="26"/>
      <c r="E494" s="48">
        <v>6000</v>
      </c>
      <c r="F494" s="161">
        <v>8000</v>
      </c>
      <c r="G494" s="161">
        <f t="shared" si="37"/>
        <v>0</v>
      </c>
      <c r="H494" s="161">
        <v>8000</v>
      </c>
      <c r="I494" s="161">
        <v>8000</v>
      </c>
      <c r="J494" s="106">
        <f aca="true" t="shared" si="39" ref="J494:J500">I494/H494</f>
        <v>1</v>
      </c>
      <c r="K494" s="133">
        <f aca="true" t="shared" si="40" ref="K494:K558">I494/I$54</f>
        <v>0.00024186997655748418</v>
      </c>
    </row>
    <row r="495" spans="1:11" ht="12.75">
      <c r="A495" s="189">
        <f t="shared" si="33"/>
        <v>417</v>
      </c>
      <c r="B495" s="15">
        <v>4010</v>
      </c>
      <c r="C495" s="127" t="s">
        <v>78</v>
      </c>
      <c r="D495" s="26"/>
      <c r="E495" s="48">
        <v>195000</v>
      </c>
      <c r="F495" s="161">
        <v>233500</v>
      </c>
      <c r="G495" s="161">
        <f t="shared" si="37"/>
        <v>0</v>
      </c>
      <c r="H495" s="161">
        <v>233500</v>
      </c>
      <c r="I495" s="161">
        <v>261500</v>
      </c>
      <c r="J495" s="106">
        <f t="shared" si="39"/>
        <v>1.119914346895075</v>
      </c>
      <c r="K495" s="133">
        <f t="shared" si="40"/>
        <v>0.007906124858722764</v>
      </c>
    </row>
    <row r="496" spans="1:11" ht="12.75">
      <c r="A496" s="189">
        <f t="shared" si="33"/>
        <v>418</v>
      </c>
      <c r="B496" s="15">
        <v>4040</v>
      </c>
      <c r="C496" s="127" t="s">
        <v>31</v>
      </c>
      <c r="D496" s="26"/>
      <c r="E496" s="48">
        <v>15000</v>
      </c>
      <c r="F496" s="161">
        <v>16835</v>
      </c>
      <c r="G496" s="161">
        <f t="shared" si="37"/>
        <v>-972.5</v>
      </c>
      <c r="H496" s="161">
        <v>15862.5</v>
      </c>
      <c r="I496" s="161">
        <v>18200</v>
      </c>
      <c r="J496" s="106">
        <f t="shared" si="39"/>
        <v>1.1473601260835304</v>
      </c>
      <c r="K496" s="133">
        <f t="shared" si="40"/>
        <v>0.0005502541966682765</v>
      </c>
    </row>
    <row r="497" spans="1:11" ht="12.75">
      <c r="A497" s="189">
        <f aca="true" t="shared" si="41" ref="A497:A565">A496+1</f>
        <v>419</v>
      </c>
      <c r="B497" s="15">
        <v>4110</v>
      </c>
      <c r="C497" s="127" t="s">
        <v>75</v>
      </c>
      <c r="D497" s="26"/>
      <c r="E497" s="47">
        <v>37100</v>
      </c>
      <c r="F497" s="161">
        <v>41700</v>
      </c>
      <c r="G497" s="161">
        <f t="shared" si="37"/>
        <v>0</v>
      </c>
      <c r="H497" s="161">
        <v>41700</v>
      </c>
      <c r="I497" s="161">
        <v>47400</v>
      </c>
      <c r="J497" s="106">
        <f t="shared" si="39"/>
        <v>1.1366906474820144</v>
      </c>
      <c r="K497" s="133">
        <f t="shared" si="40"/>
        <v>0.0014330796111030938</v>
      </c>
    </row>
    <row r="498" spans="1:11" ht="12.75" customHeight="1">
      <c r="A498" s="189">
        <f t="shared" si="41"/>
        <v>420</v>
      </c>
      <c r="B498" s="15">
        <v>4120</v>
      </c>
      <c r="C498" s="127" t="s">
        <v>76</v>
      </c>
      <c r="D498" s="26"/>
      <c r="E498" s="47">
        <v>5100</v>
      </c>
      <c r="F498" s="161">
        <v>6000</v>
      </c>
      <c r="G498" s="161">
        <f t="shared" si="37"/>
        <v>0</v>
      </c>
      <c r="H498" s="161">
        <v>6000</v>
      </c>
      <c r="I498" s="161">
        <v>6750</v>
      </c>
      <c r="J498" s="106">
        <f t="shared" si="39"/>
        <v>1.125</v>
      </c>
      <c r="K498" s="133">
        <f t="shared" si="40"/>
        <v>0.0002040777927203773</v>
      </c>
    </row>
    <row r="499" spans="1:11" ht="12.75" customHeight="1">
      <c r="A499" s="189">
        <f t="shared" si="41"/>
        <v>421</v>
      </c>
      <c r="B499" s="15">
        <v>4140</v>
      </c>
      <c r="C499" s="127" t="s">
        <v>187</v>
      </c>
      <c r="D499" s="26"/>
      <c r="E499" s="47">
        <v>1200</v>
      </c>
      <c r="F499" s="161">
        <v>2930</v>
      </c>
      <c r="G499" s="161">
        <f t="shared" si="37"/>
        <v>0</v>
      </c>
      <c r="H499" s="161">
        <v>2930</v>
      </c>
      <c r="I499" s="161">
        <v>2850</v>
      </c>
      <c r="J499" s="106">
        <f t="shared" si="39"/>
        <v>0.9726962457337884</v>
      </c>
      <c r="K499" s="133">
        <f t="shared" si="40"/>
        <v>8.616617914860374E-05</v>
      </c>
    </row>
    <row r="500" spans="1:11" ht="12.75">
      <c r="A500" s="189">
        <f t="shared" si="41"/>
        <v>422</v>
      </c>
      <c r="B500" s="15">
        <v>4210</v>
      </c>
      <c r="C500" s="127" t="s">
        <v>162</v>
      </c>
      <c r="D500" s="26"/>
      <c r="E500" s="53">
        <f>SUM(E502:E503)</f>
        <v>7000</v>
      </c>
      <c r="F500" s="175">
        <f>SUM(F502:F503)</f>
        <v>11000</v>
      </c>
      <c r="G500" s="161">
        <f t="shared" si="37"/>
        <v>0</v>
      </c>
      <c r="H500" s="175">
        <f>SUM(H502:H503)</f>
        <v>11000</v>
      </c>
      <c r="I500" s="175">
        <f>SUM(I502:I503)</f>
        <v>11000</v>
      </c>
      <c r="J500" s="106">
        <f t="shared" si="39"/>
        <v>1</v>
      </c>
      <c r="K500" s="133">
        <f t="shared" si="40"/>
        <v>0.00033257121776654073</v>
      </c>
    </row>
    <row r="501" spans="1:11" ht="12.75">
      <c r="A501" s="189">
        <f t="shared" si="41"/>
        <v>423</v>
      </c>
      <c r="B501" s="15"/>
      <c r="C501" s="127" t="s">
        <v>16</v>
      </c>
      <c r="D501" s="26"/>
      <c r="E501" s="47"/>
      <c r="F501" s="161"/>
      <c r="G501" s="161">
        <f t="shared" si="37"/>
        <v>0</v>
      </c>
      <c r="H501" s="161"/>
      <c r="I501" s="161"/>
      <c r="J501" s="106"/>
      <c r="K501" s="133"/>
    </row>
    <row r="502" spans="1:11" ht="12.75">
      <c r="A502" s="189">
        <f t="shared" si="41"/>
        <v>424</v>
      </c>
      <c r="B502" s="15"/>
      <c r="C502" s="127" t="s">
        <v>111</v>
      </c>
      <c r="D502" s="26"/>
      <c r="E502" s="48">
        <v>6000</v>
      </c>
      <c r="F502" s="161">
        <v>8000</v>
      </c>
      <c r="G502" s="161">
        <f t="shared" si="37"/>
        <v>0</v>
      </c>
      <c r="H502" s="161">
        <v>8000</v>
      </c>
      <c r="I502" s="161">
        <v>8000</v>
      </c>
      <c r="J502" s="106">
        <f aca="true" t="shared" si="42" ref="J502:J509">I502/H502</f>
        <v>1</v>
      </c>
      <c r="K502" s="133">
        <f t="shared" si="40"/>
        <v>0.00024186997655748418</v>
      </c>
    </row>
    <row r="503" spans="1:11" ht="12.75">
      <c r="A503" s="189">
        <f t="shared" si="41"/>
        <v>425</v>
      </c>
      <c r="B503" s="15"/>
      <c r="C503" s="127" t="s">
        <v>281</v>
      </c>
      <c r="D503" s="26"/>
      <c r="E503" s="48">
        <v>1000</v>
      </c>
      <c r="F503" s="161">
        <v>3000</v>
      </c>
      <c r="G503" s="161">
        <f t="shared" si="37"/>
        <v>0</v>
      </c>
      <c r="H503" s="161">
        <v>3000</v>
      </c>
      <c r="I503" s="161">
        <v>3000</v>
      </c>
      <c r="J503" s="106">
        <f t="shared" si="42"/>
        <v>1</v>
      </c>
      <c r="K503" s="133">
        <f t="shared" si="40"/>
        <v>9.070124120905656E-05</v>
      </c>
    </row>
    <row r="504" spans="1:11" ht="12.75">
      <c r="A504" s="189">
        <f t="shared" si="41"/>
        <v>426</v>
      </c>
      <c r="B504" s="15">
        <v>4270</v>
      </c>
      <c r="C504" s="127" t="s">
        <v>161</v>
      </c>
      <c r="D504" s="26"/>
      <c r="E504" s="48"/>
      <c r="F504" s="161">
        <v>1000</v>
      </c>
      <c r="G504" s="161">
        <f t="shared" si="37"/>
        <v>0</v>
      </c>
      <c r="H504" s="161">
        <v>1000</v>
      </c>
      <c r="I504" s="161">
        <v>1000</v>
      </c>
      <c r="J504" s="106">
        <f t="shared" si="42"/>
        <v>1</v>
      </c>
      <c r="K504" s="133">
        <f t="shared" si="40"/>
        <v>3.0233747069685523E-05</v>
      </c>
    </row>
    <row r="505" spans="1:11" ht="12.75">
      <c r="A505" s="189">
        <f t="shared" si="41"/>
        <v>427</v>
      </c>
      <c r="B505" s="15">
        <v>4280</v>
      </c>
      <c r="C505" s="127" t="s">
        <v>396</v>
      </c>
      <c r="D505" s="26"/>
      <c r="E505" s="48"/>
      <c r="F505" s="161">
        <v>300</v>
      </c>
      <c r="G505" s="161">
        <f t="shared" si="37"/>
        <v>0</v>
      </c>
      <c r="H505" s="161">
        <v>300</v>
      </c>
      <c r="I505" s="161">
        <v>1800</v>
      </c>
      <c r="J505" s="106">
        <f t="shared" si="42"/>
        <v>6</v>
      </c>
      <c r="K505" s="133">
        <f t="shared" si="40"/>
        <v>5.442074472543394E-05</v>
      </c>
    </row>
    <row r="506" spans="1:11" ht="12.75">
      <c r="A506" s="189">
        <f t="shared" si="41"/>
        <v>428</v>
      </c>
      <c r="B506" s="15">
        <v>4300</v>
      </c>
      <c r="C506" s="127" t="s">
        <v>160</v>
      </c>
      <c r="D506" s="26"/>
      <c r="E506" s="48">
        <v>9000</v>
      </c>
      <c r="F506" s="161">
        <f>8700-1000</f>
        <v>7700</v>
      </c>
      <c r="G506" s="161">
        <f t="shared" si="37"/>
        <v>0</v>
      </c>
      <c r="H506" s="161">
        <v>7700</v>
      </c>
      <c r="I506" s="161">
        <v>6000</v>
      </c>
      <c r="J506" s="106">
        <f t="shared" si="42"/>
        <v>0.7792207792207793</v>
      </c>
      <c r="K506" s="133">
        <f t="shared" si="40"/>
        <v>0.00018140248241811313</v>
      </c>
    </row>
    <row r="507" spans="1:11" ht="12.75">
      <c r="A507" s="189">
        <f t="shared" si="41"/>
        <v>429</v>
      </c>
      <c r="B507" s="15">
        <v>4410</v>
      </c>
      <c r="C507" s="127" t="s">
        <v>74</v>
      </c>
      <c r="D507" s="26"/>
      <c r="E507" s="53">
        <v>400</v>
      </c>
      <c r="F507" s="178">
        <v>3000</v>
      </c>
      <c r="G507" s="161">
        <f t="shared" si="37"/>
        <v>0</v>
      </c>
      <c r="H507" s="178">
        <v>3000</v>
      </c>
      <c r="I507" s="178">
        <v>3000</v>
      </c>
      <c r="J507" s="106">
        <f t="shared" si="42"/>
        <v>1</v>
      </c>
      <c r="K507" s="133">
        <f t="shared" si="40"/>
        <v>9.070124120905656E-05</v>
      </c>
    </row>
    <row r="508" spans="1:11" ht="12.75">
      <c r="A508" s="189">
        <f t="shared" si="41"/>
        <v>430</v>
      </c>
      <c r="B508" s="15">
        <v>4430</v>
      </c>
      <c r="C508" s="127" t="s">
        <v>102</v>
      </c>
      <c r="D508" s="26"/>
      <c r="E508" s="48">
        <v>3500</v>
      </c>
      <c r="F508" s="161">
        <v>5000</v>
      </c>
      <c r="G508" s="161">
        <f t="shared" si="37"/>
        <v>0</v>
      </c>
      <c r="H508" s="161">
        <v>5000</v>
      </c>
      <c r="I508" s="161">
        <v>6000</v>
      </c>
      <c r="J508" s="106">
        <f t="shared" si="42"/>
        <v>1.2</v>
      </c>
      <c r="K508" s="133">
        <f t="shared" si="40"/>
        <v>0.00018140248241811313</v>
      </c>
    </row>
    <row r="509" spans="1:11" ht="12.75">
      <c r="A509" s="189">
        <f t="shared" si="41"/>
        <v>431</v>
      </c>
      <c r="B509" s="15">
        <v>4440</v>
      </c>
      <c r="C509" s="127" t="s">
        <v>113</v>
      </c>
      <c r="D509" s="26"/>
      <c r="E509" s="48">
        <v>2900</v>
      </c>
      <c r="F509" s="161">
        <v>4586</v>
      </c>
      <c r="G509" s="161">
        <f t="shared" si="37"/>
        <v>0</v>
      </c>
      <c r="H509" s="161">
        <v>4586</v>
      </c>
      <c r="I509" s="161">
        <v>4674</v>
      </c>
      <c r="J509" s="106">
        <f t="shared" si="42"/>
        <v>1.019188835586568</v>
      </c>
      <c r="K509" s="133">
        <f t="shared" si="40"/>
        <v>0.00014131253380371013</v>
      </c>
    </row>
    <row r="510" spans="1:11" ht="12.75">
      <c r="A510" s="189">
        <f t="shared" si="41"/>
        <v>432</v>
      </c>
      <c r="B510" s="15">
        <v>4700</v>
      </c>
      <c r="C510" s="127" t="s">
        <v>514</v>
      </c>
      <c r="D510" s="26"/>
      <c r="E510" s="48"/>
      <c r="F510" s="161"/>
      <c r="G510" s="161"/>
      <c r="H510" s="161"/>
      <c r="I510" s="161"/>
      <c r="J510" s="106"/>
      <c r="K510" s="133"/>
    </row>
    <row r="511" spans="1:11" ht="12.75">
      <c r="A511" s="189">
        <f t="shared" si="41"/>
        <v>433</v>
      </c>
      <c r="B511" s="15"/>
      <c r="C511" s="127" t="s">
        <v>513</v>
      </c>
      <c r="D511" s="26"/>
      <c r="E511" s="48"/>
      <c r="F511" s="161">
        <v>0</v>
      </c>
      <c r="G511" s="161"/>
      <c r="H511" s="161">
        <v>0</v>
      </c>
      <c r="I511" s="161">
        <v>6000</v>
      </c>
      <c r="J511" s="106"/>
      <c r="K511" s="133">
        <f t="shared" si="40"/>
        <v>0.00018140248241811313</v>
      </c>
    </row>
    <row r="512" spans="1:11" ht="12.75">
      <c r="A512" s="189">
        <f t="shared" si="41"/>
        <v>434</v>
      </c>
      <c r="B512" s="15">
        <v>6060</v>
      </c>
      <c r="C512" s="127" t="s">
        <v>183</v>
      </c>
      <c r="D512" s="26"/>
      <c r="E512" s="48"/>
      <c r="F512" s="161">
        <v>5000</v>
      </c>
      <c r="G512" s="161"/>
      <c r="H512" s="161">
        <v>0</v>
      </c>
      <c r="I512" s="161">
        <v>5000</v>
      </c>
      <c r="J512" s="106"/>
      <c r="K512" s="133">
        <f t="shared" si="40"/>
        <v>0.0001511687353484276</v>
      </c>
    </row>
    <row r="513" spans="1:11" ht="12.75">
      <c r="A513" s="189">
        <f t="shared" si="41"/>
        <v>435</v>
      </c>
      <c r="B513" s="190">
        <v>75495</v>
      </c>
      <c r="C513" s="191" t="s">
        <v>28</v>
      </c>
      <c r="D513" s="186"/>
      <c r="E513" s="192"/>
      <c r="F513" s="193">
        <f>F514</f>
        <v>3000</v>
      </c>
      <c r="G513" s="193"/>
      <c r="H513" s="193">
        <f>H514</f>
        <v>3000</v>
      </c>
      <c r="I513" s="193">
        <f>I514</f>
        <v>3000</v>
      </c>
      <c r="J513" s="213">
        <f>I513/H513</f>
        <v>1</v>
      </c>
      <c r="K513" s="136">
        <f>I513/I$54</f>
        <v>9.070124120905656E-05</v>
      </c>
    </row>
    <row r="514" spans="1:11" ht="12.75">
      <c r="A514" s="189">
        <f t="shared" si="41"/>
        <v>436</v>
      </c>
      <c r="B514" s="15">
        <v>4260</v>
      </c>
      <c r="C514" s="127" t="s">
        <v>462</v>
      </c>
      <c r="D514" s="26"/>
      <c r="E514" s="48"/>
      <c r="F514" s="161">
        <v>3000</v>
      </c>
      <c r="G514" s="161"/>
      <c r="H514" s="161">
        <v>3000</v>
      </c>
      <c r="I514" s="161">
        <v>3000</v>
      </c>
      <c r="J514" s="106">
        <f>I514/H514</f>
        <v>1</v>
      </c>
      <c r="K514" s="133">
        <f>I514/I$54</f>
        <v>9.070124120905656E-05</v>
      </c>
    </row>
    <row r="515" spans="1:11" s="72" customFormat="1" ht="12.75">
      <c r="A515" s="189">
        <f t="shared" si="41"/>
        <v>437</v>
      </c>
      <c r="B515" s="78">
        <v>757</v>
      </c>
      <c r="C515" s="85" t="s">
        <v>134</v>
      </c>
      <c r="D515" s="60"/>
      <c r="E515" s="61" t="e">
        <f>E517</f>
        <v>#REF!</v>
      </c>
      <c r="F515" s="60">
        <f>F517</f>
        <v>314270</v>
      </c>
      <c r="G515" s="60" t="e">
        <f>G517</f>
        <v>#REF!</v>
      </c>
      <c r="H515" s="60">
        <f>H517</f>
        <v>259841</v>
      </c>
      <c r="I515" s="60">
        <f>I517</f>
        <v>528968.34</v>
      </c>
      <c r="J515" s="213">
        <f>I515/H515</f>
        <v>2.035738547804234</v>
      </c>
      <c r="K515" s="136">
        <f t="shared" si="40"/>
        <v>0.015992694999431414</v>
      </c>
    </row>
    <row r="516" spans="1:11" s="75" customFormat="1" ht="12.75">
      <c r="A516" s="189">
        <f t="shared" si="41"/>
        <v>438</v>
      </c>
      <c r="B516" s="77">
        <v>75702</v>
      </c>
      <c r="C516" s="128" t="s">
        <v>135</v>
      </c>
      <c r="D516" s="65"/>
      <c r="E516" s="74"/>
      <c r="F516" s="174"/>
      <c r="G516" s="174"/>
      <c r="H516" s="174"/>
      <c r="I516" s="174"/>
      <c r="J516" s="213"/>
      <c r="K516" s="136"/>
    </row>
    <row r="517" spans="1:11" s="72" customFormat="1" ht="12.75">
      <c r="A517" s="189">
        <f t="shared" si="41"/>
        <v>439</v>
      </c>
      <c r="B517" s="78"/>
      <c r="C517" s="128" t="s">
        <v>136</v>
      </c>
      <c r="D517" s="60"/>
      <c r="E517" s="66" t="e">
        <f>E518+E520</f>
        <v>#REF!</v>
      </c>
      <c r="F517" s="65">
        <f>F518+F520</f>
        <v>314270</v>
      </c>
      <c r="G517" s="65" t="e">
        <f>G518+G520</f>
        <v>#REF!</v>
      </c>
      <c r="H517" s="65">
        <f>H518+H520</f>
        <v>259841</v>
      </c>
      <c r="I517" s="65">
        <f>I518+I520</f>
        <v>528968.34</v>
      </c>
      <c r="J517" s="217">
        <f>I517/H517</f>
        <v>2.035738547804234</v>
      </c>
      <c r="K517" s="139">
        <f t="shared" si="40"/>
        <v>0.015992694999431414</v>
      </c>
    </row>
    <row r="518" spans="1:11" ht="12.75">
      <c r="A518" s="189">
        <f t="shared" si="41"/>
        <v>440</v>
      </c>
      <c r="B518" s="4">
        <v>4300</v>
      </c>
      <c r="C518" s="84" t="s">
        <v>160</v>
      </c>
      <c r="D518" s="26"/>
      <c r="E518" s="49" t="e">
        <f>SUM(#REF!)</f>
        <v>#REF!</v>
      </c>
      <c r="F518" s="24">
        <v>2000</v>
      </c>
      <c r="G518" s="24" t="e">
        <f>SUM(#REF!)</f>
        <v>#REF!</v>
      </c>
      <c r="H518" s="24">
        <v>0</v>
      </c>
      <c r="I518" s="24">
        <v>2000</v>
      </c>
      <c r="J518" s="106"/>
      <c r="K518" s="133">
        <f t="shared" si="40"/>
        <v>6.0467494139371045E-05</v>
      </c>
    </row>
    <row r="519" spans="1:11" ht="12.75">
      <c r="A519" s="189">
        <f t="shared" si="41"/>
        <v>441</v>
      </c>
      <c r="B519" s="4">
        <v>8070</v>
      </c>
      <c r="C519" s="84" t="s">
        <v>167</v>
      </c>
      <c r="D519" s="26"/>
      <c r="E519" s="49"/>
      <c r="F519" s="176"/>
      <c r="G519" s="176"/>
      <c r="H519" s="176"/>
      <c r="I519" s="176"/>
      <c r="J519" s="106"/>
      <c r="K519" s="133"/>
    </row>
    <row r="520" spans="1:11" ht="12.75">
      <c r="A520" s="189">
        <f t="shared" si="41"/>
        <v>442</v>
      </c>
      <c r="B520" s="4"/>
      <c r="C520" s="84" t="s">
        <v>168</v>
      </c>
      <c r="D520" s="26"/>
      <c r="E520" s="49">
        <f>SUM(E522:E526)</f>
        <v>603500</v>
      </c>
      <c r="F520" s="24">
        <f>SUM(F522:F527)</f>
        <v>312270</v>
      </c>
      <c r="G520" s="24">
        <f>SUM(G522:G527)</f>
        <v>-52429</v>
      </c>
      <c r="H520" s="24">
        <f>SUM(H522:H527)</f>
        <v>259841</v>
      </c>
      <c r="I520" s="24">
        <f>SUM(I522:I527)</f>
        <v>526968.34</v>
      </c>
      <c r="J520" s="106">
        <f>I520/H520</f>
        <v>2.0280415330913906</v>
      </c>
      <c r="K520" s="133">
        <f t="shared" si="40"/>
        <v>0.015932227505292045</v>
      </c>
    </row>
    <row r="521" spans="1:11" ht="12.75">
      <c r="A521" s="189">
        <f t="shared" si="41"/>
        <v>443</v>
      </c>
      <c r="B521" s="4"/>
      <c r="C521" s="84" t="s">
        <v>16</v>
      </c>
      <c r="D521" s="26"/>
      <c r="E521" s="48"/>
      <c r="F521" s="161"/>
      <c r="G521" s="161"/>
      <c r="H521" s="161"/>
      <c r="I521" s="161"/>
      <c r="J521" s="106"/>
      <c r="K521" s="133"/>
    </row>
    <row r="522" spans="1:11" ht="12.75">
      <c r="A522" s="189">
        <f t="shared" si="41"/>
        <v>444</v>
      </c>
      <c r="B522" s="4"/>
      <c r="C522" s="127" t="s">
        <v>258</v>
      </c>
      <c r="D522" s="26"/>
      <c r="E522" s="48">
        <v>26400</v>
      </c>
      <c r="F522" s="24">
        <v>227320</v>
      </c>
      <c r="G522" s="161">
        <f>H522-F522</f>
        <v>0</v>
      </c>
      <c r="H522" s="161">
        <v>227320</v>
      </c>
      <c r="I522" s="24">
        <v>230000</v>
      </c>
      <c r="J522" s="106">
        <f>I522/H522</f>
        <v>1.011789547774063</v>
      </c>
      <c r="K522" s="133">
        <f t="shared" si="40"/>
        <v>0.00695376182602767</v>
      </c>
    </row>
    <row r="523" spans="1:11" ht="12.75">
      <c r="A523" s="189">
        <f t="shared" si="41"/>
        <v>445</v>
      </c>
      <c r="B523" s="4"/>
      <c r="C523" s="84" t="s">
        <v>203</v>
      </c>
      <c r="D523" s="26"/>
      <c r="E523" s="48">
        <v>48600</v>
      </c>
      <c r="F523" s="24">
        <v>1250</v>
      </c>
      <c r="G523" s="161">
        <f>H523-F523</f>
        <v>0</v>
      </c>
      <c r="H523" s="161">
        <v>1250</v>
      </c>
      <c r="I523" s="24">
        <f>500-31.66</f>
        <v>468.34</v>
      </c>
      <c r="J523" s="106">
        <f>I523/H523</f>
        <v>0.374672</v>
      </c>
      <c r="K523" s="133">
        <f t="shared" si="40"/>
        <v>1.4159673102616517E-05</v>
      </c>
    </row>
    <row r="524" spans="1:11" ht="12.75">
      <c r="A524" s="189">
        <f t="shared" si="41"/>
        <v>446</v>
      </c>
      <c r="B524" s="4"/>
      <c r="C524" s="84" t="s">
        <v>184</v>
      </c>
      <c r="D524" s="26"/>
      <c r="E524" s="48">
        <v>68500</v>
      </c>
      <c r="F524" s="24">
        <v>50000</v>
      </c>
      <c r="G524" s="161">
        <f>H524-F524</f>
        <v>-50000</v>
      </c>
      <c r="H524" s="161">
        <v>0</v>
      </c>
      <c r="I524" s="24">
        <v>50000</v>
      </c>
      <c r="J524" s="106"/>
      <c r="K524" s="133">
        <f>I524/I$54</f>
        <v>0.0015116873534842762</v>
      </c>
    </row>
    <row r="525" spans="1:11" ht="12.75">
      <c r="A525" s="189">
        <f t="shared" si="41"/>
        <v>447</v>
      </c>
      <c r="B525" s="4"/>
      <c r="C525" s="127" t="s">
        <v>257</v>
      </c>
      <c r="D525" s="26"/>
      <c r="E525" s="48">
        <v>460000</v>
      </c>
      <c r="F525" s="24">
        <v>30300</v>
      </c>
      <c r="G525" s="161">
        <f>H525-F525</f>
        <v>0</v>
      </c>
      <c r="H525" s="161">
        <v>30300</v>
      </c>
      <c r="I525" s="24">
        <v>21500</v>
      </c>
      <c r="J525" s="106">
        <f>I525/H525</f>
        <v>0.7095709570957096</v>
      </c>
      <c r="K525" s="133">
        <f>I525/I$54</f>
        <v>0.0006500255619982388</v>
      </c>
    </row>
    <row r="526" spans="1:11" s="62" customFormat="1" ht="12.75">
      <c r="A526" s="189">
        <f t="shared" si="41"/>
        <v>448</v>
      </c>
      <c r="B526" s="107"/>
      <c r="C526" s="127" t="s">
        <v>204</v>
      </c>
      <c r="D526" s="89"/>
      <c r="E526" s="88">
        <v>0</v>
      </c>
      <c r="F526" s="24">
        <f>2780+260+360</f>
        <v>3400</v>
      </c>
      <c r="G526" s="161">
        <f>H526-F526</f>
        <v>-2429</v>
      </c>
      <c r="H526" s="161">
        <v>971</v>
      </c>
      <c r="I526" s="24">
        <v>0</v>
      </c>
      <c r="J526" s="106">
        <f>I526/H526</f>
        <v>0</v>
      </c>
      <c r="K526" s="133">
        <f>I526/I$54</f>
        <v>0</v>
      </c>
    </row>
    <row r="527" spans="1:11" s="62" customFormat="1" ht="12.75">
      <c r="A527" s="189">
        <f t="shared" si="41"/>
        <v>449</v>
      </c>
      <c r="B527" s="107"/>
      <c r="C527" s="127" t="s">
        <v>522</v>
      </c>
      <c r="D527" s="89"/>
      <c r="E527" s="88"/>
      <c r="F527" s="24">
        <v>0</v>
      </c>
      <c r="G527" s="161"/>
      <c r="H527" s="161">
        <v>0</v>
      </c>
      <c r="I527" s="24">
        <f>224968.34+31.66</f>
        <v>225000</v>
      </c>
      <c r="J527" s="106"/>
      <c r="K527" s="133"/>
    </row>
    <row r="528" spans="1:11" s="72" customFormat="1" ht="12.75">
      <c r="A528" s="189">
        <f t="shared" si="41"/>
        <v>450</v>
      </c>
      <c r="B528" s="78">
        <v>758</v>
      </c>
      <c r="C528" s="85" t="s">
        <v>115</v>
      </c>
      <c r="D528" s="60"/>
      <c r="E528" s="61">
        <f>E529+E531</f>
        <v>183335</v>
      </c>
      <c r="F528" s="60">
        <f>F529+F531</f>
        <v>166200</v>
      </c>
      <c r="G528" s="60"/>
      <c r="H528" s="60">
        <f>H529+H531</f>
        <v>0</v>
      </c>
      <c r="I528" s="60">
        <f>I529+I531</f>
        <v>201202.44</v>
      </c>
      <c r="J528" s="217"/>
      <c r="K528" s="139">
        <f>I528/I$54</f>
        <v>0.006083103680763577</v>
      </c>
    </row>
    <row r="529" spans="1:11" s="75" customFormat="1" ht="12.75">
      <c r="A529" s="189">
        <f t="shared" si="41"/>
        <v>451</v>
      </c>
      <c r="B529" s="77">
        <v>75814</v>
      </c>
      <c r="C529" s="128" t="s">
        <v>185</v>
      </c>
      <c r="D529" s="65"/>
      <c r="E529" s="66">
        <f>E530</f>
        <v>33335</v>
      </c>
      <c r="F529" s="65">
        <f>F530</f>
        <v>0</v>
      </c>
      <c r="G529" s="65"/>
      <c r="H529" s="65">
        <f>H530</f>
        <v>0</v>
      </c>
      <c r="I529" s="65">
        <f>I530</f>
        <v>11899</v>
      </c>
      <c r="J529" s="217"/>
      <c r="K529" s="139">
        <f>I529/I$54</f>
        <v>0.00035975135638218803</v>
      </c>
    </row>
    <row r="530" spans="1:11" s="62" customFormat="1" ht="12.75">
      <c r="A530" s="189">
        <f t="shared" si="41"/>
        <v>452</v>
      </c>
      <c r="B530" s="102">
        <v>2930</v>
      </c>
      <c r="C530" s="127" t="s">
        <v>186</v>
      </c>
      <c r="D530" s="89"/>
      <c r="E530" s="87">
        <v>33335</v>
      </c>
      <c r="F530" s="170">
        <v>0</v>
      </c>
      <c r="G530" s="170"/>
      <c r="H530" s="170">
        <v>0</v>
      </c>
      <c r="I530" s="170">
        <v>11899</v>
      </c>
      <c r="J530" s="106"/>
      <c r="K530" s="133">
        <f>I530/I$54</f>
        <v>0.00035975135638218803</v>
      </c>
    </row>
    <row r="531" spans="1:11" s="75" customFormat="1" ht="12.75">
      <c r="A531" s="189">
        <f t="shared" si="41"/>
        <v>453</v>
      </c>
      <c r="B531" s="77">
        <v>75818</v>
      </c>
      <c r="C531" s="128" t="s">
        <v>116</v>
      </c>
      <c r="D531" s="65"/>
      <c r="E531" s="66">
        <f>E532</f>
        <v>150000</v>
      </c>
      <c r="F531" s="65">
        <f>F532</f>
        <v>166200</v>
      </c>
      <c r="G531" s="65">
        <f>G532</f>
        <v>0</v>
      </c>
      <c r="H531" s="65">
        <f>H532</f>
        <v>0</v>
      </c>
      <c r="I531" s="65">
        <f>I532</f>
        <v>189303.44</v>
      </c>
      <c r="J531" s="217"/>
      <c r="K531" s="139">
        <f t="shared" si="40"/>
        <v>0.005723352324381389</v>
      </c>
    </row>
    <row r="532" spans="1:11" ht="12.75">
      <c r="A532" s="189">
        <f t="shared" si="41"/>
        <v>454</v>
      </c>
      <c r="B532" s="14">
        <v>4810</v>
      </c>
      <c r="C532" s="126" t="s">
        <v>117</v>
      </c>
      <c r="D532" s="29">
        <f>SUM(D533:D534)</f>
        <v>0</v>
      </c>
      <c r="E532" s="47">
        <f>SUM(E534:E534)</f>
        <v>150000</v>
      </c>
      <c r="F532" s="29">
        <f>SUM(F534:F534)</f>
        <v>166200</v>
      </c>
      <c r="G532" s="29">
        <f>SUM(G534:G534)</f>
        <v>0</v>
      </c>
      <c r="H532" s="29">
        <f>SUM(H534:H534)</f>
        <v>0</v>
      </c>
      <c r="I532" s="29">
        <f>SUM(I534:I534)</f>
        <v>189303.44</v>
      </c>
      <c r="J532" s="106"/>
      <c r="K532" s="133">
        <f t="shared" si="40"/>
        <v>0.005723352324381389</v>
      </c>
    </row>
    <row r="533" spans="1:11" ht="12.75">
      <c r="A533" s="189">
        <f t="shared" si="41"/>
        <v>455</v>
      </c>
      <c r="B533" s="14"/>
      <c r="C533" s="126" t="s">
        <v>16</v>
      </c>
      <c r="D533" s="26"/>
      <c r="E533" s="48"/>
      <c r="F533" s="161"/>
      <c r="G533" s="161"/>
      <c r="H533" s="161"/>
      <c r="I533" s="161"/>
      <c r="J533" s="106"/>
      <c r="K533" s="133"/>
    </row>
    <row r="534" spans="1:11" ht="12.75">
      <c r="A534" s="189">
        <f t="shared" si="41"/>
        <v>456</v>
      </c>
      <c r="B534" s="4"/>
      <c r="C534" s="84" t="s">
        <v>118</v>
      </c>
      <c r="D534" s="26"/>
      <c r="E534" s="48">
        <v>150000</v>
      </c>
      <c r="F534" s="161">
        <v>166200</v>
      </c>
      <c r="G534" s="161">
        <v>0</v>
      </c>
      <c r="H534" s="161">
        <v>0</v>
      </c>
      <c r="I534" s="161">
        <f>200000-10696.56</f>
        <v>189303.44</v>
      </c>
      <c r="J534" s="106"/>
      <c r="K534" s="133">
        <f t="shared" si="40"/>
        <v>0.005723352324381389</v>
      </c>
    </row>
    <row r="535" spans="1:11" ht="12.75">
      <c r="A535" s="189"/>
      <c r="B535" s="4"/>
      <c r="C535" s="84"/>
      <c r="D535" s="26"/>
      <c r="E535" s="48"/>
      <c r="F535" s="161"/>
      <c r="G535" s="161"/>
      <c r="H535" s="161"/>
      <c r="I535" s="161"/>
      <c r="J535" s="106"/>
      <c r="K535" s="133"/>
    </row>
    <row r="536" spans="1:11" ht="12.75">
      <c r="A536" s="189"/>
      <c r="B536" s="4"/>
      <c r="C536" s="84"/>
      <c r="D536" s="26"/>
      <c r="E536" s="48"/>
      <c r="F536" s="161"/>
      <c r="G536" s="161"/>
      <c r="H536" s="161"/>
      <c r="I536" s="161"/>
      <c r="J536" s="106"/>
      <c r="K536" s="133"/>
    </row>
    <row r="537" spans="1:11" ht="12.75">
      <c r="A537" s="189"/>
      <c r="B537" s="4"/>
      <c r="C537" s="84"/>
      <c r="D537" s="26"/>
      <c r="E537" s="48"/>
      <c r="F537" s="161"/>
      <c r="G537" s="161"/>
      <c r="H537" s="161"/>
      <c r="I537" s="161"/>
      <c r="J537" s="106"/>
      <c r="K537" s="133"/>
    </row>
    <row r="538" spans="1:11" ht="12.75">
      <c r="A538" s="189"/>
      <c r="B538" s="4"/>
      <c r="C538" s="84"/>
      <c r="D538" s="26"/>
      <c r="E538" s="48"/>
      <c r="F538" s="161"/>
      <c r="G538" s="161"/>
      <c r="H538" s="161"/>
      <c r="I538" s="161"/>
      <c r="J538" s="106"/>
      <c r="K538" s="133"/>
    </row>
    <row r="539" spans="1:11" ht="12.75">
      <c r="A539" s="189"/>
      <c r="B539" s="4"/>
      <c r="C539" s="84"/>
      <c r="D539" s="26"/>
      <c r="E539" s="48"/>
      <c r="F539" s="161"/>
      <c r="G539" s="161"/>
      <c r="H539" s="161"/>
      <c r="I539" s="161"/>
      <c r="J539" s="106"/>
      <c r="K539" s="133"/>
    </row>
    <row r="540" spans="1:11" ht="15">
      <c r="A540" s="189">
        <f>A534+1</f>
        <v>457</v>
      </c>
      <c r="B540" s="9">
        <v>801</v>
      </c>
      <c r="C540" s="83" t="s">
        <v>9</v>
      </c>
      <c r="D540" s="26"/>
      <c r="E540" s="52" t="e">
        <f>E541+E671+E697+E729+E750</f>
        <v>#REF!</v>
      </c>
      <c r="F540" s="181">
        <f>F541+F664+F671+F697+F729+F733+F750</f>
        <v>7491576</v>
      </c>
      <c r="G540" s="181" t="e">
        <f>G541+G671+G697+G729+G750</f>
        <v>#REF!</v>
      </c>
      <c r="H540" s="181">
        <f>H541+H664+H671+H697+H729+H733+H750</f>
        <v>7475345.04</v>
      </c>
      <c r="I540" s="181">
        <f>I541+I664+I671+I697+I729+I733+I750</f>
        <v>7464660.56</v>
      </c>
      <c r="J540" s="213">
        <f>I540/H540</f>
        <v>0.9985707041022416</v>
      </c>
      <c r="K540" s="136">
        <f t="shared" si="40"/>
        <v>0.22568465933209708</v>
      </c>
    </row>
    <row r="541" spans="1:11" ht="12.75">
      <c r="A541" s="189">
        <f t="shared" si="41"/>
        <v>458</v>
      </c>
      <c r="B541" s="11">
        <v>80101</v>
      </c>
      <c r="C541" s="70" t="s">
        <v>205</v>
      </c>
      <c r="D541" s="27"/>
      <c r="E541" s="46" t="e">
        <f>E542+E550+E554+E558+E562+E566+#REF!+E578+E584+E589+E593+E600+E608+E623+E631+E633+E637+E657</f>
        <v>#REF!</v>
      </c>
      <c r="F541" s="27">
        <f>F542+F546+F550+F554+F558+F562+F566+F570+F574+F578+F583+F584+F589+F593+F600+F604+F608+F613+F614+F619+F623+F627+F632+F633+F637+F642+F647+F652+F657+F662</f>
        <v>3192539</v>
      </c>
      <c r="G541" s="27" t="e">
        <f>G542+G550+G554+G558+G562+G566+#REF!+#REF!+G578+G584+G589+G593+G600+G604+G608+G614+G623+G631+G633+G637+G657</f>
        <v>#REF!</v>
      </c>
      <c r="H541" s="27">
        <f>H542+H546+H550+H554+H558+H562+H566+H570+H574+H578+H583+H584+H589+H593+H600+H604+H608+H613+H614+H619+H623+H627+H632+H633+H637+H642+H647+H652+H657+H662</f>
        <v>3191253.8200000003</v>
      </c>
      <c r="I541" s="27">
        <f>I542+I546+I550+I554+I558+I562+I566+I570+I574+I578+I583+I584+I589+I593+I600+I604+I608+I613+I614+I619+I623+I627+I632+I633+I637+I642+I647+I652+I657+I662</f>
        <v>3104998.5599999996</v>
      </c>
      <c r="J541" s="217">
        <f>I541/H541</f>
        <v>0.9729713570699303</v>
      </c>
      <c r="K541" s="139">
        <f t="shared" si="40"/>
        <v>0.09387574111477776</v>
      </c>
    </row>
    <row r="542" spans="1:11" ht="12.75">
      <c r="A542" s="189">
        <f t="shared" si="41"/>
        <v>459</v>
      </c>
      <c r="B542" s="4">
        <v>3020</v>
      </c>
      <c r="C542" s="84" t="s">
        <v>297</v>
      </c>
      <c r="D542" s="26"/>
      <c r="E542" s="49">
        <f>SUM(E544:E545)</f>
        <v>38200</v>
      </c>
      <c r="F542" s="24">
        <f>SUM(F544:F545)</f>
        <v>41000</v>
      </c>
      <c r="G542" s="24">
        <f>SUM(G544:G545)</f>
        <v>-9800</v>
      </c>
      <c r="H542" s="24">
        <f>SUM(H544:H545)</f>
        <v>41000</v>
      </c>
      <c r="I542" s="24">
        <f>SUM(I544:I545)</f>
        <v>40476</v>
      </c>
      <c r="J542" s="106">
        <f>I542/H542</f>
        <v>0.9872195121951219</v>
      </c>
      <c r="K542" s="133">
        <f t="shared" si="40"/>
        <v>0.0012237411463925912</v>
      </c>
    </row>
    <row r="543" spans="1:11" ht="12.75">
      <c r="A543" s="189">
        <f t="shared" si="41"/>
        <v>460</v>
      </c>
      <c r="B543" s="4"/>
      <c r="C543" s="84" t="s">
        <v>16</v>
      </c>
      <c r="D543" s="26"/>
      <c r="E543" s="48"/>
      <c r="F543" s="161"/>
      <c r="G543" s="161"/>
      <c r="H543" s="161"/>
      <c r="I543" s="161"/>
      <c r="J543" s="106"/>
      <c r="K543" s="133"/>
    </row>
    <row r="544" spans="1:11" ht="12.75">
      <c r="A544" s="189">
        <f t="shared" si="41"/>
        <v>461</v>
      </c>
      <c r="B544" s="4"/>
      <c r="C544" s="84" t="s">
        <v>175</v>
      </c>
      <c r="D544" s="26"/>
      <c r="E544" s="48">
        <v>11100</v>
      </c>
      <c r="F544" s="161">
        <v>7900</v>
      </c>
      <c r="G544" s="161">
        <v>-5800</v>
      </c>
      <c r="H544" s="161">
        <v>7900</v>
      </c>
      <c r="I544" s="161">
        <v>8100</v>
      </c>
      <c r="J544" s="106">
        <f>I544/H544</f>
        <v>1.0253164556962024</v>
      </c>
      <c r="K544" s="133">
        <f t="shared" si="40"/>
        <v>0.00024489335126445273</v>
      </c>
    </row>
    <row r="545" spans="1:11" ht="12.75">
      <c r="A545" s="189">
        <f t="shared" si="41"/>
        <v>462</v>
      </c>
      <c r="B545" s="4"/>
      <c r="C545" s="84" t="s">
        <v>176</v>
      </c>
      <c r="D545" s="26"/>
      <c r="E545" s="48">
        <v>27100</v>
      </c>
      <c r="F545" s="161">
        <v>33100</v>
      </c>
      <c r="G545" s="161">
        <v>-4000</v>
      </c>
      <c r="H545" s="161">
        <v>33100</v>
      </c>
      <c r="I545" s="161">
        <v>32376</v>
      </c>
      <c r="J545" s="106">
        <f>I545/H545</f>
        <v>0.9781268882175227</v>
      </c>
      <c r="K545" s="133">
        <f t="shared" si="40"/>
        <v>0.0009788477951281384</v>
      </c>
    </row>
    <row r="546" spans="1:11" ht="12.75">
      <c r="A546" s="189">
        <f t="shared" si="41"/>
        <v>463</v>
      </c>
      <c r="B546" s="4">
        <v>3240</v>
      </c>
      <c r="C546" s="84" t="s">
        <v>348</v>
      </c>
      <c r="D546" s="26"/>
      <c r="E546" s="48"/>
      <c r="F546" s="161">
        <f>SUM(F548:F549)</f>
        <v>0</v>
      </c>
      <c r="G546" s="161"/>
      <c r="H546" s="161">
        <f>SUM(H548:H549)</f>
        <v>0</v>
      </c>
      <c r="I546" s="161">
        <f>SUM(I548:I549)</f>
        <v>0</v>
      </c>
      <c r="J546" s="106"/>
      <c r="K546" s="133">
        <f aca="true" t="shared" si="43" ref="K546:K554">I546/I$54</f>
        <v>0</v>
      </c>
    </row>
    <row r="547" spans="1:11" ht="12.75">
      <c r="A547" s="189">
        <f t="shared" si="41"/>
        <v>464</v>
      </c>
      <c r="B547" s="4"/>
      <c r="C547" s="84" t="s">
        <v>16</v>
      </c>
      <c r="D547" s="26"/>
      <c r="E547" s="48"/>
      <c r="F547" s="161"/>
      <c r="G547" s="161"/>
      <c r="H547" s="161"/>
      <c r="I547" s="161"/>
      <c r="J547" s="106"/>
      <c r="K547" s="133"/>
    </row>
    <row r="548" spans="1:11" ht="12.75">
      <c r="A548" s="189">
        <f t="shared" si="41"/>
        <v>465</v>
      </c>
      <c r="B548" s="4"/>
      <c r="C548" s="84" t="s">
        <v>175</v>
      </c>
      <c r="D548" s="26"/>
      <c r="E548" s="48"/>
      <c r="F548" s="161">
        <v>0</v>
      </c>
      <c r="G548" s="161"/>
      <c r="H548" s="161">
        <v>0</v>
      </c>
      <c r="I548" s="161">
        <v>0</v>
      </c>
      <c r="J548" s="106"/>
      <c r="K548" s="133">
        <f t="shared" si="43"/>
        <v>0</v>
      </c>
    </row>
    <row r="549" spans="1:11" ht="12.75">
      <c r="A549" s="189">
        <f t="shared" si="41"/>
        <v>466</v>
      </c>
      <c r="B549" s="4"/>
      <c r="C549" s="84" t="s">
        <v>176</v>
      </c>
      <c r="D549" s="26"/>
      <c r="E549" s="48"/>
      <c r="F549" s="161">
        <v>0</v>
      </c>
      <c r="G549" s="161"/>
      <c r="H549" s="161">
        <v>0</v>
      </c>
      <c r="I549" s="161">
        <v>0</v>
      </c>
      <c r="J549" s="106"/>
      <c r="K549" s="133">
        <f t="shared" si="43"/>
        <v>0</v>
      </c>
    </row>
    <row r="550" spans="1:11" ht="12.75">
      <c r="A550" s="189">
        <f>A549+1</f>
        <v>467</v>
      </c>
      <c r="B550" s="4">
        <v>3260</v>
      </c>
      <c r="C550" s="84" t="s">
        <v>326</v>
      </c>
      <c r="D550" s="26"/>
      <c r="E550" s="49">
        <f>SUM(E552:E553)</f>
        <v>9500</v>
      </c>
      <c r="F550" s="24">
        <f>SUM(F552:F553)</f>
        <v>1133</v>
      </c>
      <c r="G550" s="24">
        <f>SUM(G552:G553)</f>
        <v>-1900</v>
      </c>
      <c r="H550" s="24">
        <f>SUM(H552:H553)</f>
        <v>1132.8</v>
      </c>
      <c r="I550" s="24">
        <f>SUM(I552:I553)</f>
        <v>0</v>
      </c>
      <c r="J550" s="106">
        <f>I550/H550</f>
        <v>0</v>
      </c>
      <c r="K550" s="133">
        <f t="shared" si="43"/>
        <v>0</v>
      </c>
    </row>
    <row r="551" spans="1:11" ht="12.75">
      <c r="A551" s="189">
        <f t="shared" si="41"/>
        <v>468</v>
      </c>
      <c r="B551" s="4"/>
      <c r="C551" s="84" t="s">
        <v>16</v>
      </c>
      <c r="D551" s="26"/>
      <c r="E551" s="48"/>
      <c r="F551" s="161"/>
      <c r="G551" s="161"/>
      <c r="H551" s="161"/>
      <c r="I551" s="161"/>
      <c r="J551" s="106"/>
      <c r="K551" s="133">
        <f t="shared" si="43"/>
        <v>0</v>
      </c>
    </row>
    <row r="552" spans="1:11" ht="12.75">
      <c r="A552" s="189">
        <f t="shared" si="41"/>
        <v>469</v>
      </c>
      <c r="B552" s="4"/>
      <c r="C552" s="84" t="s">
        <v>175</v>
      </c>
      <c r="D552" s="26"/>
      <c r="E552" s="48">
        <v>8000</v>
      </c>
      <c r="F552" s="161">
        <v>846.2</v>
      </c>
      <c r="G552" s="161">
        <v>-400</v>
      </c>
      <c r="H552" s="161">
        <v>846</v>
      </c>
      <c r="I552" s="161">
        <v>0</v>
      </c>
      <c r="J552" s="106">
        <f>I552/H552</f>
        <v>0</v>
      </c>
      <c r="K552" s="133">
        <f t="shared" si="43"/>
        <v>0</v>
      </c>
    </row>
    <row r="553" spans="1:11" ht="12.75">
      <c r="A553" s="189">
        <f t="shared" si="41"/>
        <v>470</v>
      </c>
      <c r="B553" s="4"/>
      <c r="C553" s="84" t="s">
        <v>176</v>
      </c>
      <c r="D553" s="26"/>
      <c r="E553" s="48">
        <v>1500</v>
      </c>
      <c r="F553" s="161">
        <v>286.8</v>
      </c>
      <c r="G553" s="161">
        <v>-1500</v>
      </c>
      <c r="H553" s="161">
        <v>286.8</v>
      </c>
      <c r="I553" s="161">
        <v>0</v>
      </c>
      <c r="J553" s="106">
        <f>I553/H553</f>
        <v>0</v>
      </c>
      <c r="K553" s="133">
        <f t="shared" si="43"/>
        <v>0</v>
      </c>
    </row>
    <row r="554" spans="1:11" ht="12.75">
      <c r="A554" s="189">
        <f t="shared" si="41"/>
        <v>471</v>
      </c>
      <c r="B554" s="4">
        <v>4010</v>
      </c>
      <c r="C554" s="84" t="s">
        <v>30</v>
      </c>
      <c r="D554" s="26"/>
      <c r="E554" s="49">
        <f>SUM(E556:E557)</f>
        <v>1420200</v>
      </c>
      <c r="F554" s="24">
        <f>SUM(F556:F557)</f>
        <v>1683005</v>
      </c>
      <c r="G554" s="24">
        <f>SUM(G556:G557)</f>
        <v>-55000</v>
      </c>
      <c r="H554" s="24">
        <f>SUM(H556:H557)</f>
        <v>1683005</v>
      </c>
      <c r="I554" s="24">
        <f>SUM(I556:I557)</f>
        <v>1756570</v>
      </c>
      <c r="J554" s="106">
        <f>I554/H554</f>
        <v>1.0437105059105587</v>
      </c>
      <c r="K554" s="133">
        <f t="shared" si="43"/>
        <v>0.0531076930901975</v>
      </c>
    </row>
    <row r="555" spans="1:11" ht="12.75">
      <c r="A555" s="189">
        <f t="shared" si="41"/>
        <v>472</v>
      </c>
      <c r="B555" s="4"/>
      <c r="C555" s="84" t="s">
        <v>16</v>
      </c>
      <c r="D555" s="26"/>
      <c r="E555" s="48"/>
      <c r="F555" s="161"/>
      <c r="G555" s="161"/>
      <c r="H555" s="161"/>
      <c r="I555" s="161"/>
      <c r="J555" s="106"/>
      <c r="K555" s="133"/>
    </row>
    <row r="556" spans="1:11" ht="12.75">
      <c r="A556" s="189">
        <f t="shared" si="41"/>
        <v>473</v>
      </c>
      <c r="B556" s="4"/>
      <c r="C556" s="84" t="s">
        <v>175</v>
      </c>
      <c r="D556" s="26"/>
      <c r="E556" s="48">
        <v>1122000</v>
      </c>
      <c r="F556" s="161">
        <f>1252114+3666</f>
        <v>1255780</v>
      </c>
      <c r="G556" s="161">
        <v>-55000</v>
      </c>
      <c r="H556" s="161">
        <f>1252114+3666</f>
        <v>1255780</v>
      </c>
      <c r="I556" s="161">
        <v>1319800</v>
      </c>
      <c r="J556" s="106">
        <f>I556/H556</f>
        <v>1.0509802672442625</v>
      </c>
      <c r="K556" s="133">
        <f t="shared" si="40"/>
        <v>0.039902499382570955</v>
      </c>
    </row>
    <row r="557" spans="1:11" ht="12.75">
      <c r="A557" s="189">
        <f t="shared" si="41"/>
        <v>474</v>
      </c>
      <c r="B557" s="4"/>
      <c r="C557" s="84" t="s">
        <v>176</v>
      </c>
      <c r="D557" s="26"/>
      <c r="E557" s="48">
        <f>210000+1700+83500+2500+500</f>
        <v>298200</v>
      </c>
      <c r="F557" s="161">
        <v>427225</v>
      </c>
      <c r="G557" s="161">
        <v>0</v>
      </c>
      <c r="H557" s="161">
        <v>427225</v>
      </c>
      <c r="I557" s="161">
        <v>436770</v>
      </c>
      <c r="J557" s="106">
        <f>I557/H557</f>
        <v>1.022341857335128</v>
      </c>
      <c r="K557" s="133">
        <f>I557/I$54</f>
        <v>0.013205193707626546</v>
      </c>
    </row>
    <row r="558" spans="1:11" ht="12.75">
      <c r="A558" s="189">
        <f>A557+1</f>
        <v>475</v>
      </c>
      <c r="B558" s="4">
        <v>4040</v>
      </c>
      <c r="C558" s="84" t="s">
        <v>31</v>
      </c>
      <c r="D558" s="26"/>
      <c r="E558" s="49">
        <f>SUM(E560:E561)</f>
        <v>111700</v>
      </c>
      <c r="F558" s="24">
        <f>SUM(F560:F561)</f>
        <v>133030</v>
      </c>
      <c r="G558" s="24">
        <f>SUM(G560:G561)</f>
        <v>-3300</v>
      </c>
      <c r="H558" s="24">
        <f>SUM(H560:H561)</f>
        <v>131745.02</v>
      </c>
      <c r="I558" s="24">
        <f>SUM(I560:I561)</f>
        <v>131100</v>
      </c>
      <c r="J558" s="106">
        <f>I558/H558</f>
        <v>0.9951040274615315</v>
      </c>
      <c r="K558" s="133">
        <f t="shared" si="40"/>
        <v>0.003963644240835772</v>
      </c>
    </row>
    <row r="559" spans="1:11" ht="12.75">
      <c r="A559" s="189">
        <f t="shared" si="41"/>
        <v>476</v>
      </c>
      <c r="B559" s="4"/>
      <c r="C559" s="84" t="s">
        <v>16</v>
      </c>
      <c r="D559" s="26"/>
      <c r="E559" s="48"/>
      <c r="F559" s="161"/>
      <c r="G559" s="161"/>
      <c r="H559" s="161"/>
      <c r="I559" s="161"/>
      <c r="J559" s="106"/>
      <c r="K559" s="133"/>
    </row>
    <row r="560" spans="1:11" ht="12.75">
      <c r="A560" s="189">
        <f t="shared" si="41"/>
        <v>477</v>
      </c>
      <c r="B560" s="4"/>
      <c r="C560" s="84" t="s">
        <v>175</v>
      </c>
      <c r="D560" s="26"/>
      <c r="E560" s="48">
        <v>82900</v>
      </c>
      <c r="F560" s="161">
        <v>99300</v>
      </c>
      <c r="G560" s="161">
        <v>0</v>
      </c>
      <c r="H560" s="161">
        <v>99265.73</v>
      </c>
      <c r="I560" s="161">
        <v>98300</v>
      </c>
      <c r="J560" s="106">
        <f>I560/H560</f>
        <v>0.9902712648161657</v>
      </c>
      <c r="K560" s="133">
        <f>I560/I$54</f>
        <v>0.002971977336950087</v>
      </c>
    </row>
    <row r="561" spans="1:11" ht="12.75">
      <c r="A561" s="189">
        <f t="shared" si="41"/>
        <v>478</v>
      </c>
      <c r="B561" s="4"/>
      <c r="C561" s="84" t="s">
        <v>176</v>
      </c>
      <c r="D561" s="26"/>
      <c r="E561" s="48">
        <v>28800</v>
      </c>
      <c r="F561" s="161">
        <v>33730</v>
      </c>
      <c r="G561" s="161">
        <v>-3300</v>
      </c>
      <c r="H561" s="161">
        <v>32479.29</v>
      </c>
      <c r="I561" s="161">
        <v>32800</v>
      </c>
      <c r="J561" s="106">
        <f>I561/H561</f>
        <v>1.0098742922028159</v>
      </c>
      <c r="K561" s="133">
        <f>I561/I$54</f>
        <v>0.000991666903885685</v>
      </c>
    </row>
    <row r="562" spans="1:11" ht="12.75">
      <c r="A562" s="189">
        <f t="shared" si="41"/>
        <v>479</v>
      </c>
      <c r="B562" s="4">
        <v>4110</v>
      </c>
      <c r="C562" s="84" t="s">
        <v>35</v>
      </c>
      <c r="D562" s="26"/>
      <c r="E562" s="49">
        <f>SUM(E564:E565)</f>
        <v>275000</v>
      </c>
      <c r="F562" s="24">
        <f>SUM(F564:F565)</f>
        <v>336619</v>
      </c>
      <c r="G562" s="24">
        <f>SUM(G564:G565)</f>
        <v>-11000</v>
      </c>
      <c r="H562" s="24">
        <f>SUM(H564:H565)</f>
        <v>336619</v>
      </c>
      <c r="I562" s="24">
        <f>SUM(I564:I565)</f>
        <v>321700</v>
      </c>
      <c r="J562" s="106">
        <f>I562/H562</f>
        <v>0.9556798635846462</v>
      </c>
      <c r="K562" s="133">
        <f>I562/I$54</f>
        <v>0.009726196432317832</v>
      </c>
    </row>
    <row r="563" spans="1:11" ht="12.75">
      <c r="A563" s="189">
        <f t="shared" si="41"/>
        <v>480</v>
      </c>
      <c r="B563" s="4"/>
      <c r="C563" s="84" t="s">
        <v>16</v>
      </c>
      <c r="D563" s="26"/>
      <c r="E563" s="48"/>
      <c r="F563" s="161"/>
      <c r="G563" s="161"/>
      <c r="H563" s="161"/>
      <c r="I563" s="161"/>
      <c r="J563" s="106"/>
      <c r="K563" s="133"/>
    </row>
    <row r="564" spans="1:11" ht="12.75">
      <c r="A564" s="189">
        <f t="shared" si="41"/>
        <v>481</v>
      </c>
      <c r="B564" s="4"/>
      <c r="C564" s="84" t="s">
        <v>175</v>
      </c>
      <c r="D564" s="26"/>
      <c r="E564" s="48">
        <v>212400</v>
      </c>
      <c r="F564" s="161">
        <f>244314+630</f>
        <v>244944</v>
      </c>
      <c r="G564" s="161">
        <v>-11000</v>
      </c>
      <c r="H564" s="161">
        <f>244314+630</f>
        <v>244944</v>
      </c>
      <c r="I564" s="161">
        <v>234500</v>
      </c>
      <c r="J564" s="106">
        <f>I564/H564</f>
        <v>0.9573616826703246</v>
      </c>
      <c r="K564" s="133">
        <f>I564/I$54</f>
        <v>0.007089813687841255</v>
      </c>
    </row>
    <row r="565" spans="1:11" ht="12.75">
      <c r="A565" s="189">
        <f t="shared" si="41"/>
        <v>482</v>
      </c>
      <c r="B565" s="4"/>
      <c r="C565" s="84" t="s">
        <v>176</v>
      </c>
      <c r="D565" s="26"/>
      <c r="E565" s="48">
        <v>62600</v>
      </c>
      <c r="F565" s="161">
        <v>91675</v>
      </c>
      <c r="G565" s="161">
        <v>0</v>
      </c>
      <c r="H565" s="161">
        <v>91675</v>
      </c>
      <c r="I565" s="161">
        <v>87200</v>
      </c>
      <c r="J565" s="106">
        <f>I565/H565</f>
        <v>0.9511862557949278</v>
      </c>
      <c r="K565" s="133">
        <f>I565/I$54</f>
        <v>0.0026363827444765777</v>
      </c>
    </row>
    <row r="566" spans="1:11" ht="12.75">
      <c r="A566" s="189">
        <f aca="true" t="shared" si="44" ref="A566:A632">A565+1</f>
        <v>483</v>
      </c>
      <c r="B566" s="4">
        <v>4120</v>
      </c>
      <c r="C566" s="84" t="s">
        <v>36</v>
      </c>
      <c r="D566" s="26"/>
      <c r="E566" s="49">
        <f>SUM(E568:E569)</f>
        <v>37700</v>
      </c>
      <c r="F566" s="24">
        <f>SUM(F568:F569)</f>
        <v>46391</v>
      </c>
      <c r="G566" s="24">
        <f>SUM(G568:G569)</f>
        <v>-1200</v>
      </c>
      <c r="H566" s="24">
        <f>SUM(H568:H569)</f>
        <v>46391</v>
      </c>
      <c r="I566" s="24">
        <f>SUM(I568:I569)</f>
        <v>45255</v>
      </c>
      <c r="J566" s="106">
        <f>I566/H566</f>
        <v>0.9755124916470868</v>
      </c>
      <c r="K566" s="133">
        <f>I566/I$54</f>
        <v>0.0013682282236386182</v>
      </c>
    </row>
    <row r="567" spans="1:11" ht="12.75">
      <c r="A567" s="189">
        <f t="shared" si="44"/>
        <v>484</v>
      </c>
      <c r="B567" s="4"/>
      <c r="C567" s="84" t="s">
        <v>16</v>
      </c>
      <c r="D567" s="26"/>
      <c r="E567" s="48"/>
      <c r="F567" s="161"/>
      <c r="G567" s="161"/>
      <c r="H567" s="161"/>
      <c r="I567" s="161"/>
      <c r="J567" s="106"/>
      <c r="K567" s="133"/>
    </row>
    <row r="568" spans="1:11" ht="12.75">
      <c r="A568" s="189">
        <f t="shared" si="44"/>
        <v>485</v>
      </c>
      <c r="B568" s="4"/>
      <c r="C568" s="84" t="s">
        <v>175</v>
      </c>
      <c r="D568" s="26"/>
      <c r="E568" s="48">
        <v>29100</v>
      </c>
      <c r="F568" s="161">
        <f>33861+90</f>
        <v>33951</v>
      </c>
      <c r="G568" s="161">
        <v>-1000</v>
      </c>
      <c r="H568" s="161">
        <f>33861+90</f>
        <v>33951</v>
      </c>
      <c r="I568" s="161">
        <v>33200</v>
      </c>
      <c r="J568" s="106">
        <f>I568/H568</f>
        <v>0.9778798857176519</v>
      </c>
      <c r="K568" s="133">
        <f>I568/I$54</f>
        <v>0.0010037604027135594</v>
      </c>
    </row>
    <row r="569" spans="1:11" ht="12.75">
      <c r="A569" s="189">
        <f t="shared" si="44"/>
        <v>486</v>
      </c>
      <c r="B569" s="4"/>
      <c r="C569" s="84" t="s">
        <v>176</v>
      </c>
      <c r="D569" s="26"/>
      <c r="E569" s="48">
        <v>8600</v>
      </c>
      <c r="F569" s="161">
        <v>12440</v>
      </c>
      <c r="G569" s="161">
        <v>-200</v>
      </c>
      <c r="H569" s="161">
        <v>12440</v>
      </c>
      <c r="I569" s="161">
        <v>12055</v>
      </c>
      <c r="J569" s="106">
        <f>I569/H569</f>
        <v>0.9690514469453376</v>
      </c>
      <c r="K569" s="133">
        <f>I569/I$54</f>
        <v>0.000364467820925059</v>
      </c>
    </row>
    <row r="570" spans="1:11" ht="12.75">
      <c r="A570" s="189">
        <f t="shared" si="44"/>
        <v>487</v>
      </c>
      <c r="B570" s="4">
        <v>4140</v>
      </c>
      <c r="C570" s="84" t="s">
        <v>187</v>
      </c>
      <c r="D570" s="26"/>
      <c r="E570" s="48"/>
      <c r="F570" s="161">
        <f>SUM(F572:F573)</f>
        <v>0</v>
      </c>
      <c r="G570" s="161"/>
      <c r="H570" s="161">
        <f>SUM(H572:H573)</f>
        <v>0</v>
      </c>
      <c r="I570" s="161">
        <f>SUM(I572:I573)</f>
        <v>10600</v>
      </c>
      <c r="J570" s="106"/>
      <c r="K570" s="133"/>
    </row>
    <row r="571" spans="1:11" ht="12.75">
      <c r="A571" s="189">
        <f t="shared" si="44"/>
        <v>488</v>
      </c>
      <c r="B571" s="4"/>
      <c r="C571" s="84" t="s">
        <v>16</v>
      </c>
      <c r="D571" s="26"/>
      <c r="E571" s="48"/>
      <c r="F571" s="161"/>
      <c r="G571" s="161"/>
      <c r="H571" s="161"/>
      <c r="I571" s="161"/>
      <c r="J571" s="106"/>
      <c r="K571" s="133"/>
    </row>
    <row r="572" spans="1:11" ht="12.75">
      <c r="A572" s="189">
        <f t="shared" si="44"/>
        <v>489</v>
      </c>
      <c r="B572" s="4"/>
      <c r="C572" s="84" t="s">
        <v>175</v>
      </c>
      <c r="D572" s="26"/>
      <c r="E572" s="48"/>
      <c r="F572" s="161">
        <v>0</v>
      </c>
      <c r="G572" s="161"/>
      <c r="H572" s="161">
        <v>0</v>
      </c>
      <c r="I572" s="161">
        <v>10600</v>
      </c>
      <c r="J572" s="106"/>
      <c r="K572" s="133">
        <f>I572/I$54</f>
        <v>0.0003204777189386665</v>
      </c>
    </row>
    <row r="573" spans="1:11" ht="12.75">
      <c r="A573" s="189">
        <f t="shared" si="44"/>
        <v>490</v>
      </c>
      <c r="B573" s="4"/>
      <c r="C573" s="84" t="s">
        <v>176</v>
      </c>
      <c r="D573" s="26"/>
      <c r="E573" s="48"/>
      <c r="F573" s="161">
        <v>0</v>
      </c>
      <c r="G573" s="161"/>
      <c r="H573" s="161">
        <v>0</v>
      </c>
      <c r="I573" s="161">
        <v>0</v>
      </c>
      <c r="J573" s="106"/>
      <c r="K573" s="133">
        <f>I573/I$54</f>
        <v>0</v>
      </c>
    </row>
    <row r="574" spans="1:11" ht="12.75">
      <c r="A574" s="189">
        <f>A573+1</f>
        <v>491</v>
      </c>
      <c r="B574" s="4">
        <v>4170</v>
      </c>
      <c r="C574" s="84" t="s">
        <v>290</v>
      </c>
      <c r="D574" s="26"/>
      <c r="E574" s="48"/>
      <c r="F574" s="161">
        <f>SUM(F576:F577)</f>
        <v>24300</v>
      </c>
      <c r="G574" s="161"/>
      <c r="H574" s="161">
        <f>SUM(H576:H577)</f>
        <v>24300</v>
      </c>
      <c r="I574" s="161">
        <f>SUM(I576:I577)</f>
        <v>22000</v>
      </c>
      <c r="J574" s="106">
        <f>I574/H574</f>
        <v>0.9053497942386831</v>
      </c>
      <c r="K574" s="133">
        <f>I574/I$54</f>
        <v>0.0006651424355330815</v>
      </c>
    </row>
    <row r="575" spans="1:11" ht="12.75">
      <c r="A575" s="189">
        <f t="shared" si="44"/>
        <v>492</v>
      </c>
      <c r="B575" s="4"/>
      <c r="C575" s="84" t="s">
        <v>16</v>
      </c>
      <c r="D575" s="26"/>
      <c r="E575" s="48"/>
      <c r="F575" s="161"/>
      <c r="G575" s="161"/>
      <c r="H575" s="161"/>
      <c r="I575" s="161"/>
      <c r="J575" s="106"/>
      <c r="K575" s="133"/>
    </row>
    <row r="576" spans="1:11" ht="12.75">
      <c r="A576" s="189">
        <f t="shared" si="44"/>
        <v>493</v>
      </c>
      <c r="B576" s="4"/>
      <c r="C576" s="84" t="s">
        <v>175</v>
      </c>
      <c r="D576" s="26"/>
      <c r="E576" s="48">
        <v>2500</v>
      </c>
      <c r="F576" s="161">
        <f>9200+1600</f>
        <v>10800</v>
      </c>
      <c r="G576" s="161">
        <v>-400</v>
      </c>
      <c r="H576" s="161">
        <v>10800</v>
      </c>
      <c r="I576" s="161">
        <v>8000</v>
      </c>
      <c r="J576" s="106">
        <f>I576/H576</f>
        <v>0.7407407407407407</v>
      </c>
      <c r="K576" s="133">
        <f>I576/I$54</f>
        <v>0.00024186997655748418</v>
      </c>
    </row>
    <row r="577" spans="1:11" ht="12.75">
      <c r="A577" s="189">
        <f t="shared" si="44"/>
        <v>494</v>
      </c>
      <c r="B577" s="4"/>
      <c r="C577" s="84" t="s">
        <v>176</v>
      </c>
      <c r="D577" s="26"/>
      <c r="E577" s="48">
        <v>0</v>
      </c>
      <c r="F577" s="161">
        <v>13500</v>
      </c>
      <c r="G577" s="161">
        <v>0</v>
      </c>
      <c r="H577" s="161">
        <v>13500</v>
      </c>
      <c r="I577" s="161">
        <v>14000</v>
      </c>
      <c r="J577" s="106">
        <f>I577/H577</f>
        <v>1.037037037037037</v>
      </c>
      <c r="K577" s="133">
        <f>I577/I$54</f>
        <v>0.0004232724589755973</v>
      </c>
    </row>
    <row r="578" spans="1:11" ht="12.75">
      <c r="A578" s="189">
        <f t="shared" si="44"/>
        <v>495</v>
      </c>
      <c r="B578" s="4">
        <v>4210</v>
      </c>
      <c r="C578" s="84" t="s">
        <v>162</v>
      </c>
      <c r="D578" s="26"/>
      <c r="E578" s="49">
        <f>SUM(E580:E581)</f>
        <v>156900</v>
      </c>
      <c r="F578" s="24">
        <f>SUM(F580:F581)</f>
        <v>124235</v>
      </c>
      <c r="G578" s="24">
        <f>SUM(G580:G581)</f>
        <v>-13700</v>
      </c>
      <c r="H578" s="24">
        <f>SUM(H580:H581)</f>
        <v>124235</v>
      </c>
      <c r="I578" s="24">
        <f>SUM(I580:I581)</f>
        <v>118825</v>
      </c>
      <c r="J578" s="106">
        <f>I578/H578</f>
        <v>0.9564534953917978</v>
      </c>
      <c r="K578" s="133">
        <f>I578/I$54</f>
        <v>0.003592524995555382</v>
      </c>
    </row>
    <row r="579" spans="1:11" ht="12.75">
      <c r="A579" s="189">
        <f t="shared" si="44"/>
        <v>496</v>
      </c>
      <c r="B579" s="4"/>
      <c r="C579" s="84" t="s">
        <v>16</v>
      </c>
      <c r="D579" s="26"/>
      <c r="E579" s="48"/>
      <c r="F579" s="161"/>
      <c r="G579" s="161"/>
      <c r="H579" s="161"/>
      <c r="I579" s="161"/>
      <c r="J579" s="106"/>
      <c r="K579" s="133"/>
    </row>
    <row r="580" spans="1:11" ht="12.75">
      <c r="A580" s="189">
        <f t="shared" si="44"/>
        <v>497</v>
      </c>
      <c r="B580" s="4"/>
      <c r="C580" s="84" t="s">
        <v>175</v>
      </c>
      <c r="D580" s="26"/>
      <c r="E580" s="48">
        <f>131500-19100</f>
        <v>112400</v>
      </c>
      <c r="F580" s="161">
        <v>77235</v>
      </c>
      <c r="G580" s="161">
        <v>-9700</v>
      </c>
      <c r="H580" s="161">
        <v>77235</v>
      </c>
      <c r="I580" s="161">
        <f>78000-3000</f>
        <v>75000</v>
      </c>
      <c r="J580" s="106">
        <f>I580/H580</f>
        <v>0.9710623422023694</v>
      </c>
      <c r="K580" s="133">
        <f>I580/I$54</f>
        <v>0.0022675310302264144</v>
      </c>
    </row>
    <row r="581" spans="1:11" ht="12.75">
      <c r="A581" s="189">
        <f t="shared" si="44"/>
        <v>498</v>
      </c>
      <c r="B581" s="4"/>
      <c r="C581" s="84" t="s">
        <v>176</v>
      </c>
      <c r="D581" s="26"/>
      <c r="E581" s="48">
        <v>44500</v>
      </c>
      <c r="F581" s="161">
        <v>47000</v>
      </c>
      <c r="G581" s="161">
        <v>-4000</v>
      </c>
      <c r="H581" s="161">
        <v>47000</v>
      </c>
      <c r="I581" s="161">
        <v>43825</v>
      </c>
      <c r="J581" s="106">
        <f>I581/H581</f>
        <v>0.9324468085106383</v>
      </c>
      <c r="K581" s="133">
        <f>I581/I$54</f>
        <v>0.001324993965328968</v>
      </c>
    </row>
    <row r="582" spans="1:11" ht="12.75">
      <c r="A582" s="189">
        <f t="shared" si="44"/>
        <v>499</v>
      </c>
      <c r="B582" s="194">
        <v>4217</v>
      </c>
      <c r="C582" s="84" t="s">
        <v>463</v>
      </c>
      <c r="D582" s="26"/>
      <c r="E582" s="48"/>
      <c r="F582" s="161"/>
      <c r="G582" s="161"/>
      <c r="H582" s="161"/>
      <c r="I582" s="161"/>
      <c r="J582" s="106"/>
      <c r="K582" s="133"/>
    </row>
    <row r="583" spans="1:11" ht="12.75">
      <c r="A583" s="189">
        <f t="shared" si="44"/>
        <v>500</v>
      </c>
      <c r="B583" s="4"/>
      <c r="C583" s="84" t="s">
        <v>464</v>
      </c>
      <c r="D583" s="26"/>
      <c r="E583" s="48"/>
      <c r="F583" s="161">
        <v>3070</v>
      </c>
      <c r="G583" s="161"/>
      <c r="H583" s="161">
        <v>3070</v>
      </c>
      <c r="I583" s="161">
        <v>0</v>
      </c>
      <c r="J583" s="106"/>
      <c r="K583" s="133"/>
    </row>
    <row r="584" spans="1:11" ht="12.75">
      <c r="A584" s="189">
        <f t="shared" si="44"/>
        <v>501</v>
      </c>
      <c r="B584" s="4">
        <v>4220</v>
      </c>
      <c r="C584" s="84" t="s">
        <v>169</v>
      </c>
      <c r="D584" s="26"/>
      <c r="E584" s="48">
        <f>SUM(E586:E587)</f>
        <v>0</v>
      </c>
      <c r="F584" s="161">
        <f>SUM(F586:F587)</f>
        <v>122100</v>
      </c>
      <c r="G584" s="161">
        <f>SUM(G586:G587)</f>
        <v>0</v>
      </c>
      <c r="H584" s="161">
        <f>SUM(H586:H587)</f>
        <v>122100</v>
      </c>
      <c r="I584" s="161">
        <f>SUM(I586:I587)</f>
        <v>120300</v>
      </c>
      <c r="J584" s="106">
        <f>I584/H584</f>
        <v>0.9852579852579852</v>
      </c>
      <c r="K584" s="133">
        <f>I584/I$54</f>
        <v>0.0036371197724831684</v>
      </c>
    </row>
    <row r="585" spans="1:11" ht="12.75">
      <c r="A585" s="189">
        <f t="shared" si="44"/>
        <v>502</v>
      </c>
      <c r="B585" s="4"/>
      <c r="C585" s="84" t="s">
        <v>16</v>
      </c>
      <c r="D585" s="26"/>
      <c r="E585" s="48"/>
      <c r="F585" s="161"/>
      <c r="G585" s="161"/>
      <c r="H585" s="161"/>
      <c r="I585" s="161"/>
      <c r="J585" s="106"/>
      <c r="K585" s="133"/>
    </row>
    <row r="586" spans="1:11" ht="12.75">
      <c r="A586" s="189">
        <f t="shared" si="44"/>
        <v>503</v>
      </c>
      <c r="B586" s="4"/>
      <c r="C586" s="84" t="s">
        <v>175</v>
      </c>
      <c r="D586" s="26"/>
      <c r="E586" s="48">
        <v>0</v>
      </c>
      <c r="F586" s="161">
        <v>92400</v>
      </c>
      <c r="G586" s="161">
        <v>0</v>
      </c>
      <c r="H586" s="161">
        <v>92400</v>
      </c>
      <c r="I586" s="161">
        <v>92400</v>
      </c>
      <c r="J586" s="106">
        <f>I586/H586</f>
        <v>1</v>
      </c>
      <c r="K586" s="133">
        <f>I586/I$54</f>
        <v>0.002793598229238942</v>
      </c>
    </row>
    <row r="587" spans="1:11" ht="12.75">
      <c r="A587" s="189">
        <f t="shared" si="44"/>
        <v>504</v>
      </c>
      <c r="B587" s="4"/>
      <c r="C587" s="84" t="s">
        <v>176</v>
      </c>
      <c r="D587" s="26"/>
      <c r="E587" s="48">
        <v>0</v>
      </c>
      <c r="F587" s="161">
        <v>29700</v>
      </c>
      <c r="G587" s="161">
        <v>0</v>
      </c>
      <c r="H587" s="161">
        <v>29700</v>
      </c>
      <c r="I587" s="161">
        <v>27900</v>
      </c>
      <c r="J587" s="106">
        <f>I587/H587</f>
        <v>0.9393939393939394</v>
      </c>
      <c r="K587" s="133">
        <f>I587/I$54</f>
        <v>0.000843521543244226</v>
      </c>
    </row>
    <row r="588" spans="1:11" ht="12.75">
      <c r="A588" s="189">
        <f t="shared" si="44"/>
        <v>505</v>
      </c>
      <c r="B588" s="4">
        <v>4240</v>
      </c>
      <c r="C588" s="84" t="s">
        <v>170</v>
      </c>
      <c r="D588" s="26"/>
      <c r="E588" s="49"/>
      <c r="F588" s="176"/>
      <c r="G588" s="176"/>
      <c r="H588" s="176"/>
      <c r="I588" s="176"/>
      <c r="J588" s="106"/>
      <c r="K588" s="133"/>
    </row>
    <row r="589" spans="1:11" ht="12.75">
      <c r="A589" s="189">
        <f t="shared" si="44"/>
        <v>506</v>
      </c>
      <c r="B589" s="4"/>
      <c r="C589" s="84" t="s">
        <v>171</v>
      </c>
      <c r="D589" s="26"/>
      <c r="E589" s="49">
        <f>SUM(E591:E592)</f>
        <v>21000</v>
      </c>
      <c r="F589" s="24">
        <f>SUM(F591:F592)</f>
        <v>33930</v>
      </c>
      <c r="G589" s="24">
        <f>SUM(G591:G592)</f>
        <v>-7600</v>
      </c>
      <c r="H589" s="24">
        <f>SUM(H591:H592)</f>
        <v>33930</v>
      </c>
      <c r="I589" s="24">
        <f>SUM(I591:I592)</f>
        <v>22500</v>
      </c>
      <c r="J589" s="106">
        <f>I589/H589</f>
        <v>0.6631299734748011</v>
      </c>
      <c r="K589" s="133">
        <f>I589/I$54</f>
        <v>0.0006802593090679243</v>
      </c>
    </row>
    <row r="590" spans="1:11" ht="12.75">
      <c r="A590" s="189">
        <f t="shared" si="44"/>
        <v>507</v>
      </c>
      <c r="B590" s="4"/>
      <c r="C590" s="84" t="s">
        <v>16</v>
      </c>
      <c r="D590" s="26"/>
      <c r="E590" s="48"/>
      <c r="F590" s="161"/>
      <c r="G590" s="161"/>
      <c r="H590" s="161"/>
      <c r="I590" s="161"/>
      <c r="J590" s="106"/>
      <c r="K590" s="133"/>
    </row>
    <row r="591" spans="1:11" ht="12.75">
      <c r="A591" s="189">
        <f t="shared" si="44"/>
        <v>508</v>
      </c>
      <c r="B591" s="4"/>
      <c r="C591" s="84" t="s">
        <v>175</v>
      </c>
      <c r="D591" s="26"/>
      <c r="E591" s="48">
        <f>84000-20000-20000-30000</f>
        <v>14000</v>
      </c>
      <c r="F591" s="161">
        <f>28430+3000</f>
        <v>31430</v>
      </c>
      <c r="G591" s="161">
        <v>-4000</v>
      </c>
      <c r="H591" s="161">
        <v>31430</v>
      </c>
      <c r="I591" s="161">
        <v>20000</v>
      </c>
      <c r="J591" s="106">
        <f>I591/H591</f>
        <v>0.6363347120585428</v>
      </c>
      <c r="K591" s="133">
        <f>I591/I$54</f>
        <v>0.0006046749413937104</v>
      </c>
    </row>
    <row r="592" spans="1:11" ht="12.75">
      <c r="A592" s="189">
        <f t="shared" si="44"/>
        <v>509</v>
      </c>
      <c r="B592" s="4"/>
      <c r="C592" s="84" t="s">
        <v>176</v>
      </c>
      <c r="D592" s="26"/>
      <c r="E592" s="48">
        <v>7000</v>
      </c>
      <c r="F592" s="161">
        <v>2500</v>
      </c>
      <c r="G592" s="161">
        <v>-3600</v>
      </c>
      <c r="H592" s="161">
        <v>2500</v>
      </c>
      <c r="I592" s="161">
        <v>2500</v>
      </c>
      <c r="J592" s="106">
        <f>I592/H592</f>
        <v>1</v>
      </c>
      <c r="K592" s="133">
        <f>I592/I$54</f>
        <v>7.55843676742138E-05</v>
      </c>
    </row>
    <row r="593" spans="1:11" ht="12.75">
      <c r="A593" s="189">
        <f t="shared" si="44"/>
        <v>510</v>
      </c>
      <c r="B593" s="4">
        <v>4260</v>
      </c>
      <c r="C593" s="84" t="s">
        <v>165</v>
      </c>
      <c r="D593" s="26"/>
      <c r="E593" s="49">
        <f>SUM(E595:E596)</f>
        <v>32600</v>
      </c>
      <c r="F593" s="24">
        <f>SUM(F595:F596)</f>
        <v>156316</v>
      </c>
      <c r="G593" s="24">
        <f>SUM(G595:G596)</f>
        <v>-600</v>
      </c>
      <c r="H593" s="24">
        <f>SUM(H595:H596)</f>
        <v>156316</v>
      </c>
      <c r="I593" s="24">
        <f>SUM(I595:I596)</f>
        <v>183150</v>
      </c>
      <c r="J593" s="106">
        <f>I593/H593</f>
        <v>1.1716650886665472</v>
      </c>
      <c r="K593" s="133">
        <f>I593/I$54</f>
        <v>0.005537310775812904</v>
      </c>
    </row>
    <row r="594" spans="1:11" ht="12.75">
      <c r="A594" s="189">
        <f t="shared" si="44"/>
        <v>511</v>
      </c>
      <c r="B594" s="4"/>
      <c r="C594" s="84" t="s">
        <v>16</v>
      </c>
      <c r="D594" s="26"/>
      <c r="E594" s="48"/>
      <c r="F594" s="161"/>
      <c r="G594" s="161"/>
      <c r="H594" s="161"/>
      <c r="I594" s="161"/>
      <c r="J594" s="106"/>
      <c r="K594" s="133"/>
    </row>
    <row r="595" spans="1:11" ht="12.75">
      <c r="A595" s="189">
        <f t="shared" si="44"/>
        <v>512</v>
      </c>
      <c r="B595" s="4"/>
      <c r="C595" s="84" t="s">
        <v>175</v>
      </c>
      <c r="D595" s="26"/>
      <c r="E595" s="48">
        <v>22500</v>
      </c>
      <c r="F595" s="161">
        <v>144716</v>
      </c>
      <c r="G595" s="161">
        <v>0</v>
      </c>
      <c r="H595" s="161">
        <v>144716</v>
      </c>
      <c r="I595" s="161">
        <v>171500</v>
      </c>
      <c r="J595" s="106">
        <f>I595/H595</f>
        <v>1.1850797423919954</v>
      </c>
      <c r="K595" s="133">
        <f>I595/I$54</f>
        <v>0.005185087622451067</v>
      </c>
    </row>
    <row r="596" spans="1:11" ht="13.5" customHeight="1">
      <c r="A596" s="189">
        <f t="shared" si="44"/>
        <v>513</v>
      </c>
      <c r="B596" s="4"/>
      <c r="C596" s="84" t="s">
        <v>176</v>
      </c>
      <c r="D596" s="26"/>
      <c r="E596" s="48">
        <v>10100</v>
      </c>
      <c r="F596" s="161">
        <v>11600</v>
      </c>
      <c r="G596" s="161">
        <v>-600</v>
      </c>
      <c r="H596" s="161">
        <v>11600</v>
      </c>
      <c r="I596" s="161">
        <v>11650</v>
      </c>
      <c r="J596" s="106">
        <f>I596/H596</f>
        <v>1.0043103448275863</v>
      </c>
      <c r="K596" s="133">
        <f>I596/I$54</f>
        <v>0.00035222315336183634</v>
      </c>
    </row>
    <row r="597" spans="1:11" ht="13.5" customHeight="1">
      <c r="A597" s="189"/>
      <c r="B597" s="4"/>
      <c r="C597" s="84"/>
      <c r="D597" s="26"/>
      <c r="E597" s="48"/>
      <c r="F597" s="161"/>
      <c r="G597" s="161"/>
      <c r="H597" s="161"/>
      <c r="I597" s="161"/>
      <c r="J597" s="106"/>
      <c r="K597" s="133"/>
    </row>
    <row r="598" spans="1:11" ht="13.5" customHeight="1">
      <c r="A598" s="189"/>
      <c r="B598" s="4"/>
      <c r="C598" s="84"/>
      <c r="D598" s="26"/>
      <c r="E598" s="48"/>
      <c r="F598" s="161"/>
      <c r="G598" s="161"/>
      <c r="H598" s="161"/>
      <c r="I598" s="161"/>
      <c r="J598" s="106"/>
      <c r="K598" s="133"/>
    </row>
    <row r="599" spans="1:11" ht="13.5" customHeight="1">
      <c r="A599" s="189"/>
      <c r="B599" s="4"/>
      <c r="C599" s="84"/>
      <c r="D599" s="26"/>
      <c r="E599" s="48"/>
      <c r="F599" s="161"/>
      <c r="G599" s="161"/>
      <c r="H599" s="161"/>
      <c r="I599" s="161"/>
      <c r="J599" s="106"/>
      <c r="K599" s="133"/>
    </row>
    <row r="600" spans="1:11" ht="12.75">
      <c r="A600" s="189">
        <f>A596+1</f>
        <v>514</v>
      </c>
      <c r="B600" s="4">
        <v>4270</v>
      </c>
      <c r="C600" s="84" t="s">
        <v>161</v>
      </c>
      <c r="D600" s="26"/>
      <c r="E600" s="47">
        <f>SUM(E602:E603)</f>
        <v>40200</v>
      </c>
      <c r="F600" s="29">
        <f>SUM(F602:F603)</f>
        <v>37500</v>
      </c>
      <c r="G600" s="29">
        <f>SUM(G602:G603)</f>
        <v>-7800</v>
      </c>
      <c r="H600" s="29">
        <f>SUM(H602:H603)</f>
        <v>37500</v>
      </c>
      <c r="I600" s="29">
        <f>SUM(I602:I603)</f>
        <v>25500</v>
      </c>
      <c r="J600" s="106">
        <f>I600/H600</f>
        <v>0.68</v>
      </c>
      <c r="K600" s="133">
        <f>I600/I$54</f>
        <v>0.0007709605502769808</v>
      </c>
    </row>
    <row r="601" spans="1:11" ht="12.75">
      <c r="A601" s="189">
        <f t="shared" si="44"/>
        <v>515</v>
      </c>
      <c r="B601" s="4"/>
      <c r="C601" s="84" t="s">
        <v>16</v>
      </c>
      <c r="D601" s="26"/>
      <c r="E601" s="48"/>
      <c r="F601" s="161"/>
      <c r="G601" s="161"/>
      <c r="H601" s="161"/>
      <c r="I601" s="161"/>
      <c r="J601" s="106"/>
      <c r="K601" s="133"/>
    </row>
    <row r="602" spans="1:11" ht="12.75">
      <c r="A602" s="189">
        <f t="shared" si="44"/>
        <v>516</v>
      </c>
      <c r="B602" s="4"/>
      <c r="C602" s="84" t="s">
        <v>175</v>
      </c>
      <c r="D602" s="26"/>
      <c r="E602" s="48">
        <v>24200</v>
      </c>
      <c r="F602" s="161">
        <v>21000</v>
      </c>
      <c r="G602" s="161">
        <v>-4000</v>
      </c>
      <c r="H602" s="161">
        <v>21000</v>
      </c>
      <c r="I602" s="161">
        <v>20000</v>
      </c>
      <c r="J602" s="106">
        <f>I602/H602</f>
        <v>0.9523809523809523</v>
      </c>
      <c r="K602" s="133">
        <f>I602/I$54</f>
        <v>0.0006046749413937104</v>
      </c>
    </row>
    <row r="603" spans="1:11" ht="12.75">
      <c r="A603" s="189">
        <f t="shared" si="44"/>
        <v>517</v>
      </c>
      <c r="B603" s="4"/>
      <c r="C603" s="84" t="s">
        <v>176</v>
      </c>
      <c r="D603" s="26"/>
      <c r="E603" s="48">
        <v>16000</v>
      </c>
      <c r="F603" s="161">
        <v>16500</v>
      </c>
      <c r="G603" s="161">
        <v>-3800</v>
      </c>
      <c r="H603" s="161">
        <v>16500</v>
      </c>
      <c r="I603" s="161">
        <v>5500</v>
      </c>
      <c r="J603" s="106">
        <f>I603/H603</f>
        <v>0.3333333333333333</v>
      </c>
      <c r="K603" s="133">
        <f>I603/I$54</f>
        <v>0.00016628560888327037</v>
      </c>
    </row>
    <row r="604" spans="1:11" ht="12.75">
      <c r="A604" s="189">
        <f t="shared" si="44"/>
        <v>518</v>
      </c>
      <c r="B604" s="4">
        <v>4280</v>
      </c>
      <c r="C604" s="84" t="s">
        <v>465</v>
      </c>
      <c r="D604" s="26"/>
      <c r="E604" s="48"/>
      <c r="F604" s="161">
        <f>SUM(F606:F607)</f>
        <v>5850</v>
      </c>
      <c r="G604" s="161"/>
      <c r="H604" s="161">
        <f>SUM(H606:H607)</f>
        <v>5850</v>
      </c>
      <c r="I604" s="161">
        <f>SUM(I606:I607)</f>
        <v>5850</v>
      </c>
      <c r="J604" s="106">
        <f>I604/H604</f>
        <v>1</v>
      </c>
      <c r="K604" s="133">
        <f>I604/I$54</f>
        <v>0.00017686742035766031</v>
      </c>
    </row>
    <row r="605" spans="1:11" ht="12.75">
      <c r="A605" s="189">
        <f t="shared" si="44"/>
        <v>519</v>
      </c>
      <c r="B605" s="4"/>
      <c r="C605" s="84" t="s">
        <v>16</v>
      </c>
      <c r="D605" s="26"/>
      <c r="E605" s="48"/>
      <c r="F605" s="161"/>
      <c r="G605" s="161"/>
      <c r="H605" s="161"/>
      <c r="I605" s="161"/>
      <c r="J605" s="106"/>
      <c r="K605" s="133"/>
    </row>
    <row r="606" spans="1:11" ht="12.75">
      <c r="A606" s="189">
        <f t="shared" si="44"/>
        <v>520</v>
      </c>
      <c r="B606" s="4"/>
      <c r="C606" s="84" t="s">
        <v>175</v>
      </c>
      <c r="D606" s="26"/>
      <c r="E606" s="48"/>
      <c r="F606" s="161">
        <v>4000</v>
      </c>
      <c r="G606" s="161"/>
      <c r="H606" s="161">
        <v>4000</v>
      </c>
      <c r="I606" s="161">
        <v>4000</v>
      </c>
      <c r="J606" s="106">
        <f>I606/H606</f>
        <v>1</v>
      </c>
      <c r="K606" s="133">
        <f>I606/I$54</f>
        <v>0.00012093498827874209</v>
      </c>
    </row>
    <row r="607" spans="1:11" ht="12.75">
      <c r="A607" s="189">
        <f t="shared" si="44"/>
        <v>521</v>
      </c>
      <c r="B607" s="4"/>
      <c r="C607" s="84" t="s">
        <v>176</v>
      </c>
      <c r="D607" s="26"/>
      <c r="E607" s="48"/>
      <c r="F607" s="161">
        <v>1850</v>
      </c>
      <c r="G607" s="161"/>
      <c r="H607" s="161">
        <v>1850</v>
      </c>
      <c r="I607" s="161">
        <v>1850</v>
      </c>
      <c r="J607" s="106">
        <f>I607/H607</f>
        <v>1</v>
      </c>
      <c r="K607" s="133">
        <f>I607/I$54</f>
        <v>5.5932432078918216E-05</v>
      </c>
    </row>
    <row r="608" spans="1:11" ht="12.75">
      <c r="A608" s="189">
        <f>A607+1</f>
        <v>522</v>
      </c>
      <c r="B608" s="4">
        <v>4300</v>
      </c>
      <c r="C608" s="84" t="s">
        <v>160</v>
      </c>
      <c r="D608" s="26"/>
      <c r="E608" s="47">
        <f>SUM(E610:E611)</f>
        <v>100700</v>
      </c>
      <c r="F608" s="29">
        <f>SUM(F610:F611)</f>
        <v>120370</v>
      </c>
      <c r="G608" s="29">
        <f>SUM(G610:G611)</f>
        <v>-4800</v>
      </c>
      <c r="H608" s="29">
        <f>SUM(H610:H611)</f>
        <v>120370</v>
      </c>
      <c r="I608" s="29">
        <f>SUM(I610:I611)</f>
        <v>111350</v>
      </c>
      <c r="J608" s="106">
        <f>I608/H608</f>
        <v>0.9250643848134917</v>
      </c>
      <c r="K608" s="133">
        <f>I608/I$54</f>
        <v>0.003366527736209483</v>
      </c>
    </row>
    <row r="609" spans="1:11" ht="12.75">
      <c r="A609" s="189">
        <f t="shared" si="44"/>
        <v>523</v>
      </c>
      <c r="B609" s="4"/>
      <c r="C609" s="84" t="s">
        <v>16</v>
      </c>
      <c r="D609" s="26"/>
      <c r="E609" s="48"/>
      <c r="F609" s="161"/>
      <c r="G609" s="161"/>
      <c r="H609" s="161"/>
      <c r="I609" s="161"/>
      <c r="J609" s="106"/>
      <c r="K609" s="133"/>
    </row>
    <row r="610" spans="1:11" ht="12.75">
      <c r="A610" s="189">
        <f t="shared" si="44"/>
        <v>524</v>
      </c>
      <c r="B610" s="4"/>
      <c r="C610" s="84" t="s">
        <v>175</v>
      </c>
      <c r="D610" s="26"/>
      <c r="E610" s="48">
        <f>69000</f>
        <v>69000</v>
      </c>
      <c r="F610" s="161">
        <f>83870+10400</f>
        <v>94270</v>
      </c>
      <c r="G610" s="161">
        <v>-2600</v>
      </c>
      <c r="H610" s="161">
        <v>94270</v>
      </c>
      <c r="I610" s="161">
        <v>89100</v>
      </c>
      <c r="J610" s="106">
        <f>I610/H610</f>
        <v>0.9451575262543758</v>
      </c>
      <c r="K610" s="133">
        <f>I610/I$54</f>
        <v>0.0026938268639089802</v>
      </c>
    </row>
    <row r="611" spans="1:11" ht="12.75">
      <c r="A611" s="189">
        <f t="shared" si="44"/>
        <v>525</v>
      </c>
      <c r="B611" s="4"/>
      <c r="C611" s="84" t="s">
        <v>176</v>
      </c>
      <c r="D611" s="26"/>
      <c r="E611" s="48">
        <v>31700</v>
      </c>
      <c r="F611" s="161">
        <v>26100</v>
      </c>
      <c r="G611" s="161">
        <v>-2200</v>
      </c>
      <c r="H611" s="161">
        <v>26100</v>
      </c>
      <c r="I611" s="161">
        <v>22250</v>
      </c>
      <c r="J611" s="106">
        <f>I611/H611</f>
        <v>0.8524904214559387</v>
      </c>
      <c r="K611" s="133">
        <f>I611/I$54</f>
        <v>0.0006727008723005029</v>
      </c>
    </row>
    <row r="612" spans="1:11" ht="12.75">
      <c r="A612" s="189">
        <f t="shared" si="44"/>
        <v>526</v>
      </c>
      <c r="B612" s="4">
        <v>4307</v>
      </c>
      <c r="C612" s="84" t="s">
        <v>466</v>
      </c>
      <c r="D612" s="26"/>
      <c r="E612" s="48"/>
      <c r="F612" s="161"/>
      <c r="G612" s="161"/>
      <c r="H612" s="161"/>
      <c r="I612" s="161"/>
      <c r="J612" s="106"/>
      <c r="K612" s="133"/>
    </row>
    <row r="613" spans="1:11" ht="12.75">
      <c r="A613" s="189">
        <f t="shared" si="44"/>
        <v>527</v>
      </c>
      <c r="B613" s="4"/>
      <c r="C613" s="84" t="s">
        <v>464</v>
      </c>
      <c r="D613" s="26"/>
      <c r="E613" s="48"/>
      <c r="F613" s="161">
        <v>2630</v>
      </c>
      <c r="G613" s="161"/>
      <c r="H613" s="161">
        <v>2630</v>
      </c>
      <c r="I613" s="161">
        <v>1736.05</v>
      </c>
      <c r="J613" s="106">
        <f>I613/H613</f>
        <v>0.6600950570342206</v>
      </c>
      <c r="K613" s="133">
        <f>I613/I$54</f>
        <v>5.248729660032755E-05</v>
      </c>
    </row>
    <row r="614" spans="1:11" ht="12.75">
      <c r="A614" s="189">
        <f t="shared" si="44"/>
        <v>528</v>
      </c>
      <c r="B614" s="4">
        <v>4350</v>
      </c>
      <c r="C614" s="84" t="s">
        <v>494</v>
      </c>
      <c r="D614" s="26"/>
      <c r="E614" s="48"/>
      <c r="F614" s="161">
        <f>SUM(F616:F617)</f>
        <v>500</v>
      </c>
      <c r="G614" s="161"/>
      <c r="H614" s="161">
        <f>SUM(H616:H617)</f>
        <v>500</v>
      </c>
      <c r="I614" s="161">
        <f>SUM(I616:I617)</f>
        <v>1000</v>
      </c>
      <c r="J614" s="106">
        <f>I614/H614</f>
        <v>2</v>
      </c>
      <c r="K614" s="133">
        <f>I614/I$54</f>
        <v>3.0233747069685523E-05</v>
      </c>
    </row>
    <row r="615" spans="1:11" ht="12.75">
      <c r="A615" s="189">
        <f t="shared" si="44"/>
        <v>529</v>
      </c>
      <c r="B615" s="4"/>
      <c r="C615" s="84" t="s">
        <v>16</v>
      </c>
      <c r="D615" s="26"/>
      <c r="E615" s="48"/>
      <c r="F615" s="161"/>
      <c r="G615" s="161"/>
      <c r="H615" s="161"/>
      <c r="I615" s="161"/>
      <c r="J615" s="106"/>
      <c r="K615" s="133"/>
    </row>
    <row r="616" spans="1:11" ht="12.75">
      <c r="A616" s="189">
        <f t="shared" si="44"/>
        <v>530</v>
      </c>
      <c r="B616" s="4"/>
      <c r="C616" s="84" t="s">
        <v>175</v>
      </c>
      <c r="D616" s="26"/>
      <c r="E616" s="48"/>
      <c r="F616" s="161">
        <v>0</v>
      </c>
      <c r="G616" s="161"/>
      <c r="H616" s="161">
        <v>0</v>
      </c>
      <c r="I616" s="161">
        <v>0</v>
      </c>
      <c r="J616" s="106"/>
      <c r="K616" s="133">
        <f>I616/I$54</f>
        <v>0</v>
      </c>
    </row>
    <row r="617" spans="1:11" ht="12.75">
      <c r="A617" s="189">
        <f t="shared" si="44"/>
        <v>531</v>
      </c>
      <c r="B617" s="4"/>
      <c r="C617" s="84" t="s">
        <v>176</v>
      </c>
      <c r="D617" s="26"/>
      <c r="E617" s="48"/>
      <c r="F617" s="161">
        <v>500</v>
      </c>
      <c r="G617" s="161"/>
      <c r="H617" s="161">
        <v>500</v>
      </c>
      <c r="I617" s="161">
        <v>1000</v>
      </c>
      <c r="J617" s="106">
        <f>I617/H617</f>
        <v>2</v>
      </c>
      <c r="K617" s="133">
        <f>I617/I$54</f>
        <v>3.0233747069685523E-05</v>
      </c>
    </row>
    <row r="618" spans="1:11" ht="12.75">
      <c r="A618" s="189">
        <f t="shared" si="44"/>
        <v>532</v>
      </c>
      <c r="B618" s="4">
        <v>4370</v>
      </c>
      <c r="C618" s="84" t="s">
        <v>474</v>
      </c>
      <c r="D618" s="26"/>
      <c r="E618" s="48"/>
      <c r="F618" s="161"/>
      <c r="G618" s="161"/>
      <c r="H618" s="161"/>
      <c r="I618" s="161"/>
      <c r="J618" s="106"/>
      <c r="K618" s="133"/>
    </row>
    <row r="619" spans="1:11" ht="12.75">
      <c r="A619" s="189">
        <f t="shared" si="44"/>
        <v>533</v>
      </c>
      <c r="B619" s="4"/>
      <c r="C619" s="84" t="s">
        <v>516</v>
      </c>
      <c r="D619" s="26"/>
      <c r="E619" s="48"/>
      <c r="F619" s="161">
        <f>SUM(F621:F622)</f>
        <v>0</v>
      </c>
      <c r="G619" s="161"/>
      <c r="H619" s="161">
        <f>SUM(H621:H622)</f>
        <v>0</v>
      </c>
      <c r="I619" s="161">
        <f>SUM(I621:I622)</f>
        <v>13500</v>
      </c>
      <c r="J619" s="106"/>
      <c r="K619" s="133">
        <f>I619/I$54</f>
        <v>0.0004081555854407546</v>
      </c>
    </row>
    <row r="620" spans="1:11" ht="12.75">
      <c r="A620" s="189">
        <f t="shared" si="44"/>
        <v>534</v>
      </c>
      <c r="B620" s="4"/>
      <c r="C620" s="84" t="s">
        <v>16</v>
      </c>
      <c r="D620" s="26"/>
      <c r="E620" s="48"/>
      <c r="F620" s="161"/>
      <c r="G620" s="161"/>
      <c r="H620" s="161"/>
      <c r="I620" s="161"/>
      <c r="J620" s="106"/>
      <c r="K620" s="133"/>
    </row>
    <row r="621" spans="1:11" ht="12.75">
      <c r="A621" s="189">
        <f t="shared" si="44"/>
        <v>535</v>
      </c>
      <c r="B621" s="4"/>
      <c r="C621" s="84" t="s">
        <v>175</v>
      </c>
      <c r="D621" s="26"/>
      <c r="E621" s="48"/>
      <c r="F621" s="161">
        <v>0</v>
      </c>
      <c r="G621" s="161"/>
      <c r="H621" s="161">
        <v>0</v>
      </c>
      <c r="I621" s="161">
        <v>10000</v>
      </c>
      <c r="J621" s="106"/>
      <c r="K621" s="133">
        <f>I621/I$54</f>
        <v>0.0003023374706968552</v>
      </c>
    </row>
    <row r="622" spans="1:11" ht="12.75">
      <c r="A622" s="189">
        <f t="shared" si="44"/>
        <v>536</v>
      </c>
      <c r="B622" s="4"/>
      <c r="C622" s="84" t="s">
        <v>176</v>
      </c>
      <c r="D622" s="26"/>
      <c r="E622" s="48"/>
      <c r="F622" s="161">
        <v>0</v>
      </c>
      <c r="G622" s="161"/>
      <c r="H622" s="161">
        <v>0</v>
      </c>
      <c r="I622" s="161">
        <v>3500</v>
      </c>
      <c r="J622" s="106"/>
      <c r="K622" s="133">
        <f>I622/I$54</f>
        <v>0.00010581811474389933</v>
      </c>
    </row>
    <row r="623" spans="1:11" ht="12.75">
      <c r="A623" s="189">
        <f t="shared" si="44"/>
        <v>537</v>
      </c>
      <c r="B623" s="4">
        <v>4410</v>
      </c>
      <c r="C623" s="84" t="s">
        <v>32</v>
      </c>
      <c r="D623" s="26"/>
      <c r="E623" s="49">
        <f>SUM(E625:E626)</f>
        <v>16100</v>
      </c>
      <c r="F623" s="24">
        <f>SUM(F625:F626)</f>
        <v>5550</v>
      </c>
      <c r="G623" s="24">
        <f>SUM(G625:G626)</f>
        <v>0</v>
      </c>
      <c r="H623" s="24">
        <f>SUM(H625:H626)</f>
        <v>5550</v>
      </c>
      <c r="I623" s="24">
        <f>SUM(I625:I626)</f>
        <v>5600</v>
      </c>
      <c r="J623" s="106">
        <f>I623/H623</f>
        <v>1.009009009009009</v>
      </c>
      <c r="K623" s="133">
        <f>I623/I$54</f>
        <v>0.00016930898359023892</v>
      </c>
    </row>
    <row r="624" spans="1:11" ht="12.75">
      <c r="A624" s="189">
        <f t="shared" si="44"/>
        <v>538</v>
      </c>
      <c r="B624" s="4"/>
      <c r="C624" s="84" t="s">
        <v>16</v>
      </c>
      <c r="D624" s="26"/>
      <c r="E624" s="48"/>
      <c r="F624" s="161"/>
      <c r="G624" s="161"/>
      <c r="H624" s="161"/>
      <c r="I624" s="161"/>
      <c r="J624" s="106"/>
      <c r="K624" s="133"/>
    </row>
    <row r="625" spans="1:11" ht="12.75">
      <c r="A625" s="189">
        <f t="shared" si="44"/>
        <v>539</v>
      </c>
      <c r="B625" s="4"/>
      <c r="C625" s="84" t="s">
        <v>175</v>
      </c>
      <c r="D625" s="26"/>
      <c r="E625" s="48">
        <v>12100</v>
      </c>
      <c r="F625" s="161">
        <v>2550</v>
      </c>
      <c r="G625" s="161">
        <v>0</v>
      </c>
      <c r="H625" s="161">
        <v>2550</v>
      </c>
      <c r="I625" s="161">
        <v>2600</v>
      </c>
      <c r="J625" s="106">
        <f>I625/H625</f>
        <v>1.0196078431372548</v>
      </c>
      <c r="K625" s="133">
        <f>I625/I$54</f>
        <v>7.860774238118235E-05</v>
      </c>
    </row>
    <row r="626" spans="1:11" ht="12.75">
      <c r="A626" s="189">
        <f t="shared" si="44"/>
        <v>540</v>
      </c>
      <c r="B626" s="4"/>
      <c r="C626" s="84" t="s">
        <v>176</v>
      </c>
      <c r="D626" s="26"/>
      <c r="E626" s="48">
        <v>4000</v>
      </c>
      <c r="F626" s="161">
        <v>3000</v>
      </c>
      <c r="G626" s="161">
        <v>0</v>
      </c>
      <c r="H626" s="161">
        <v>3000</v>
      </c>
      <c r="I626" s="161">
        <v>3000</v>
      </c>
      <c r="J626" s="106">
        <f>I626/H626</f>
        <v>1</v>
      </c>
      <c r="K626" s="133">
        <f>I626/I$54</f>
        <v>9.070124120905656E-05</v>
      </c>
    </row>
    <row r="627" spans="1:11" ht="12.75">
      <c r="A627" s="189">
        <f t="shared" si="44"/>
        <v>541</v>
      </c>
      <c r="B627" s="4">
        <v>4420</v>
      </c>
      <c r="C627" s="84" t="s">
        <v>47</v>
      </c>
      <c r="D627" s="26"/>
      <c r="E627" s="48"/>
      <c r="F627" s="161">
        <f>SUM(F629:F630)</f>
        <v>0</v>
      </c>
      <c r="G627" s="161"/>
      <c r="H627" s="161">
        <f>SUM(H629:H630)</f>
        <v>0</v>
      </c>
      <c r="I627" s="161">
        <f>SUM(I629:I630)</f>
        <v>2000</v>
      </c>
      <c r="J627" s="106"/>
      <c r="K627" s="133">
        <f>I627/I$54</f>
        <v>6.0467494139371045E-05</v>
      </c>
    </row>
    <row r="628" spans="1:11" ht="12.75">
      <c r="A628" s="189">
        <f t="shared" si="44"/>
        <v>542</v>
      </c>
      <c r="B628" s="4"/>
      <c r="C628" s="84" t="s">
        <v>16</v>
      </c>
      <c r="D628" s="26"/>
      <c r="E628" s="48"/>
      <c r="F628" s="161"/>
      <c r="G628" s="161"/>
      <c r="H628" s="161"/>
      <c r="I628" s="161"/>
      <c r="J628" s="106"/>
      <c r="K628" s="133"/>
    </row>
    <row r="629" spans="1:11" ht="12.75">
      <c r="A629" s="189">
        <f t="shared" si="44"/>
        <v>543</v>
      </c>
      <c r="B629" s="4"/>
      <c r="C629" s="84" t="s">
        <v>175</v>
      </c>
      <c r="D629" s="26"/>
      <c r="E629" s="48"/>
      <c r="F629" s="161">
        <v>0</v>
      </c>
      <c r="G629" s="161"/>
      <c r="H629" s="161">
        <v>0</v>
      </c>
      <c r="I629" s="161">
        <v>0</v>
      </c>
      <c r="J629" s="106"/>
      <c r="K629" s="133">
        <f>I629/I$54</f>
        <v>0</v>
      </c>
    </row>
    <row r="630" spans="1:11" ht="12.75">
      <c r="A630" s="189">
        <f t="shared" si="44"/>
        <v>544</v>
      </c>
      <c r="B630" s="4"/>
      <c r="C630" s="84" t="s">
        <v>176</v>
      </c>
      <c r="D630" s="26"/>
      <c r="E630" s="48"/>
      <c r="F630" s="161">
        <v>0</v>
      </c>
      <c r="G630" s="161"/>
      <c r="H630" s="161">
        <v>0</v>
      </c>
      <c r="I630" s="161">
        <v>2000</v>
      </c>
      <c r="J630" s="106"/>
      <c r="K630" s="133">
        <f>I630/I$54</f>
        <v>6.0467494139371045E-05</v>
      </c>
    </row>
    <row r="631" spans="1:11" ht="12.75">
      <c r="A631" s="189">
        <f t="shared" si="44"/>
        <v>545</v>
      </c>
      <c r="B631" s="4">
        <v>4427</v>
      </c>
      <c r="C631" s="84" t="s">
        <v>467</v>
      </c>
      <c r="D631" s="26"/>
      <c r="E631" s="49" t="e">
        <f>SUM(#REF!)</f>
        <v>#REF!</v>
      </c>
      <c r="F631" s="24"/>
      <c r="G631" s="24" t="e">
        <f>SUM(#REF!)</f>
        <v>#REF!</v>
      </c>
      <c r="H631" s="24"/>
      <c r="I631" s="24"/>
      <c r="J631" s="106"/>
      <c r="K631" s="133"/>
    </row>
    <row r="632" spans="1:11" ht="12.75">
      <c r="A632" s="189">
        <f t="shared" si="44"/>
        <v>546</v>
      </c>
      <c r="B632" s="4"/>
      <c r="C632" s="84" t="s">
        <v>464</v>
      </c>
      <c r="D632" s="26"/>
      <c r="E632" s="48"/>
      <c r="F632" s="161">
        <v>16100</v>
      </c>
      <c r="G632" s="161"/>
      <c r="H632" s="161">
        <v>16100</v>
      </c>
      <c r="I632" s="161">
        <f>4926+10960.51</f>
        <v>15886.51</v>
      </c>
      <c r="J632" s="106">
        <f>I632/H632</f>
        <v>0.986739751552795</v>
      </c>
      <c r="K632" s="133">
        <f>I632/I$54</f>
        <v>0.00048030872516002977</v>
      </c>
    </row>
    <row r="633" spans="1:11" ht="12.75">
      <c r="A633" s="189">
        <f aca="true" t="shared" si="45" ref="A633:A696">A632+1</f>
        <v>547</v>
      </c>
      <c r="B633" s="4">
        <v>4430</v>
      </c>
      <c r="C633" s="84" t="s">
        <v>44</v>
      </c>
      <c r="D633" s="24"/>
      <c r="E633" s="49">
        <f>SUM(E635:E636)</f>
        <v>6000</v>
      </c>
      <c r="F633" s="24">
        <f>SUM(F635:F636)</f>
        <v>5200</v>
      </c>
      <c r="G633" s="24">
        <f>SUM(G635:G636)</f>
        <v>0</v>
      </c>
      <c r="H633" s="24">
        <f>SUM(H635:H636)</f>
        <v>5200</v>
      </c>
      <c r="I633" s="24">
        <f>SUM(I635:I636)</f>
        <v>5200</v>
      </c>
      <c r="J633" s="106">
        <f>I633/H633</f>
        <v>1</v>
      </c>
      <c r="K633" s="133">
        <f>I633/I$54</f>
        <v>0.0001572154847623647</v>
      </c>
    </row>
    <row r="634" spans="1:11" ht="12.75">
      <c r="A634" s="189">
        <f t="shared" si="45"/>
        <v>548</v>
      </c>
      <c r="B634" s="4"/>
      <c r="C634" s="84" t="s">
        <v>16</v>
      </c>
      <c r="D634" s="26"/>
      <c r="E634" s="48"/>
      <c r="F634" s="161"/>
      <c r="G634" s="161"/>
      <c r="H634" s="161"/>
      <c r="I634" s="161"/>
      <c r="J634" s="106"/>
      <c r="K634" s="133"/>
    </row>
    <row r="635" spans="1:11" ht="12.75">
      <c r="A635" s="189">
        <f t="shared" si="45"/>
        <v>549</v>
      </c>
      <c r="B635" s="4"/>
      <c r="C635" s="84" t="s">
        <v>175</v>
      </c>
      <c r="D635" s="26"/>
      <c r="E635" s="48">
        <v>4000</v>
      </c>
      <c r="F635" s="161">
        <v>3200</v>
      </c>
      <c r="G635" s="161">
        <v>0</v>
      </c>
      <c r="H635" s="161">
        <v>3200</v>
      </c>
      <c r="I635" s="161">
        <v>3200</v>
      </c>
      <c r="J635" s="106">
        <f>I635/H635</f>
        <v>1</v>
      </c>
      <c r="K635" s="133">
        <f aca="true" t="shared" si="46" ref="K635:K662">I635/I$54</f>
        <v>9.674799062299367E-05</v>
      </c>
    </row>
    <row r="636" spans="1:11" ht="12.75">
      <c r="A636" s="189">
        <f t="shared" si="45"/>
        <v>550</v>
      </c>
      <c r="B636" s="4"/>
      <c r="C636" s="84" t="s">
        <v>176</v>
      </c>
      <c r="D636" s="26"/>
      <c r="E636" s="48">
        <v>2000</v>
      </c>
      <c r="F636" s="161">
        <v>2000</v>
      </c>
      <c r="G636" s="161">
        <v>0</v>
      </c>
      <c r="H636" s="161">
        <v>2000</v>
      </c>
      <c r="I636" s="161">
        <v>2000</v>
      </c>
      <c r="J636" s="106">
        <f>I636/H636</f>
        <v>1</v>
      </c>
      <c r="K636" s="133">
        <f t="shared" si="46"/>
        <v>6.0467494139371045E-05</v>
      </c>
    </row>
    <row r="637" spans="1:11" ht="12.75">
      <c r="A637" s="189">
        <f t="shared" si="45"/>
        <v>551</v>
      </c>
      <c r="B637" s="4">
        <v>4440</v>
      </c>
      <c r="C637" s="84" t="s">
        <v>48</v>
      </c>
      <c r="D637" s="26"/>
      <c r="E637" s="49">
        <f>SUM(E639:E640)</f>
        <v>81300</v>
      </c>
      <c r="F637" s="24">
        <f>SUM(F639:F640)</f>
        <v>99350</v>
      </c>
      <c r="G637" s="24">
        <f>SUM(G639:G640)</f>
        <v>0</v>
      </c>
      <c r="H637" s="24">
        <f>SUM(H639:H640)</f>
        <v>99350</v>
      </c>
      <c r="I637" s="24">
        <f>SUM(I639:I640)</f>
        <v>98300</v>
      </c>
      <c r="J637" s="106">
        <f>I637/H637</f>
        <v>0.9894313034725717</v>
      </c>
      <c r="K637" s="133">
        <f t="shared" si="46"/>
        <v>0.002971977336950087</v>
      </c>
    </row>
    <row r="638" spans="1:11" ht="12.75">
      <c r="A638" s="189">
        <f t="shared" si="45"/>
        <v>552</v>
      </c>
      <c r="B638" s="4"/>
      <c r="C638" s="84" t="s">
        <v>16</v>
      </c>
      <c r="D638" s="26"/>
      <c r="E638" s="48"/>
      <c r="F638" s="161"/>
      <c r="G638" s="161"/>
      <c r="H638" s="161"/>
      <c r="I638" s="161"/>
      <c r="J638" s="106"/>
      <c r="K638" s="133"/>
    </row>
    <row r="639" spans="1:11" ht="12.75">
      <c r="A639" s="189">
        <f t="shared" si="45"/>
        <v>553</v>
      </c>
      <c r="B639" s="4"/>
      <c r="C639" s="84" t="s">
        <v>175</v>
      </c>
      <c r="D639" s="26"/>
      <c r="E639" s="48">
        <v>63500</v>
      </c>
      <c r="F639" s="161">
        <v>73250</v>
      </c>
      <c r="G639" s="161">
        <v>0</v>
      </c>
      <c r="H639" s="161">
        <v>73250</v>
      </c>
      <c r="I639" s="161">
        <v>72200</v>
      </c>
      <c r="J639" s="106">
        <f>I639/H639</f>
        <v>0.985665529010239</v>
      </c>
      <c r="K639" s="133">
        <f t="shared" si="46"/>
        <v>0.0021828765384312946</v>
      </c>
    </row>
    <row r="640" spans="1:11" ht="12.75">
      <c r="A640" s="189">
        <f t="shared" si="45"/>
        <v>554</v>
      </c>
      <c r="B640" s="4"/>
      <c r="C640" s="84" t="s">
        <v>176</v>
      </c>
      <c r="D640" s="26"/>
      <c r="E640" s="48">
        <v>17800</v>
      </c>
      <c r="F640" s="161">
        <v>26100</v>
      </c>
      <c r="G640" s="161">
        <v>0</v>
      </c>
      <c r="H640" s="161">
        <v>26100</v>
      </c>
      <c r="I640" s="161">
        <v>26100</v>
      </c>
      <c r="J640" s="106">
        <f>I640/H640</f>
        <v>1</v>
      </c>
      <c r="K640" s="133">
        <f t="shared" si="46"/>
        <v>0.0007891007985187921</v>
      </c>
    </row>
    <row r="641" spans="1:11" ht="12.75">
      <c r="A641" s="189">
        <f t="shared" si="45"/>
        <v>555</v>
      </c>
      <c r="B641" s="4">
        <v>4700</v>
      </c>
      <c r="C641" s="84" t="s">
        <v>514</v>
      </c>
      <c r="D641" s="26"/>
      <c r="E641" s="48"/>
      <c r="F641" s="161"/>
      <c r="G641" s="161"/>
      <c r="H641" s="161"/>
      <c r="I641" s="161"/>
      <c r="J641" s="106"/>
      <c r="K641" s="133"/>
    </row>
    <row r="642" spans="1:11" ht="12.75">
      <c r="A642" s="189">
        <f t="shared" si="45"/>
        <v>556</v>
      </c>
      <c r="B642" s="4"/>
      <c r="C642" s="84" t="s">
        <v>513</v>
      </c>
      <c r="D642" s="26"/>
      <c r="E642" s="48"/>
      <c r="F642" s="161">
        <f>SUM(F644:F645)</f>
        <v>0</v>
      </c>
      <c r="G642" s="161"/>
      <c r="H642" s="161">
        <f>SUM(H644:H645)</f>
        <v>0</v>
      </c>
      <c r="I642" s="161">
        <f>SUM(I644:I645)</f>
        <v>7000</v>
      </c>
      <c r="J642" s="106"/>
      <c r="K642" s="133">
        <f t="shared" si="46"/>
        <v>0.00021163622948779866</v>
      </c>
    </row>
    <row r="643" spans="1:11" ht="12.75">
      <c r="A643" s="189">
        <f t="shared" si="45"/>
        <v>557</v>
      </c>
      <c r="B643" s="4"/>
      <c r="C643" s="84" t="s">
        <v>16</v>
      </c>
      <c r="D643" s="26"/>
      <c r="E643" s="48"/>
      <c r="F643" s="161"/>
      <c r="G643" s="161"/>
      <c r="H643" s="161"/>
      <c r="I643" s="161"/>
      <c r="J643" s="106"/>
      <c r="K643" s="133"/>
    </row>
    <row r="644" spans="1:11" ht="12.75">
      <c r="A644" s="189">
        <f t="shared" si="45"/>
        <v>558</v>
      </c>
      <c r="B644" s="4"/>
      <c r="C644" s="84" t="s">
        <v>175</v>
      </c>
      <c r="D644" s="26"/>
      <c r="E644" s="48"/>
      <c r="F644" s="161">
        <v>0</v>
      </c>
      <c r="G644" s="161"/>
      <c r="H644" s="161">
        <v>0</v>
      </c>
      <c r="I644" s="161">
        <v>7000</v>
      </c>
      <c r="J644" s="106"/>
      <c r="K644" s="133">
        <f t="shared" si="46"/>
        <v>0.00021163622948779866</v>
      </c>
    </row>
    <row r="645" spans="1:11" ht="12.75">
      <c r="A645" s="189">
        <f t="shared" si="45"/>
        <v>559</v>
      </c>
      <c r="B645" s="4"/>
      <c r="C645" s="84" t="s">
        <v>176</v>
      </c>
      <c r="D645" s="26"/>
      <c r="E645" s="48"/>
      <c r="F645" s="161">
        <v>0</v>
      </c>
      <c r="G645" s="161"/>
      <c r="H645" s="161">
        <v>0</v>
      </c>
      <c r="I645" s="161">
        <v>0</v>
      </c>
      <c r="J645" s="106"/>
      <c r="K645" s="133">
        <f t="shared" si="46"/>
        <v>0</v>
      </c>
    </row>
    <row r="646" spans="1:11" ht="12.75">
      <c r="A646" s="189">
        <f t="shared" si="45"/>
        <v>560</v>
      </c>
      <c r="B646" s="4">
        <v>4740</v>
      </c>
      <c r="C646" s="84" t="s">
        <v>445</v>
      </c>
      <c r="D646" s="26"/>
      <c r="E646" s="48"/>
      <c r="F646" s="161"/>
      <c r="G646" s="161"/>
      <c r="H646" s="161"/>
      <c r="I646" s="161"/>
      <c r="J646" s="106"/>
      <c r="K646" s="133"/>
    </row>
    <row r="647" spans="1:11" ht="12.75">
      <c r="A647" s="189">
        <f t="shared" si="45"/>
        <v>561</v>
      </c>
      <c r="B647" s="4"/>
      <c r="C647" s="84" t="s">
        <v>446</v>
      </c>
      <c r="D647" s="26"/>
      <c r="E647" s="48"/>
      <c r="F647" s="161">
        <f>SUM(F649:F650)</f>
        <v>0</v>
      </c>
      <c r="G647" s="161"/>
      <c r="H647" s="161">
        <f>SUM(H649:H650)</f>
        <v>0</v>
      </c>
      <c r="I647" s="161">
        <f>SUM(I649:I650)</f>
        <v>6000</v>
      </c>
      <c r="J647" s="106"/>
      <c r="K647" s="133">
        <f t="shared" si="46"/>
        <v>0.00018140248241811313</v>
      </c>
    </row>
    <row r="648" spans="1:11" ht="12.75">
      <c r="A648" s="189">
        <f t="shared" si="45"/>
        <v>562</v>
      </c>
      <c r="B648" s="4"/>
      <c r="C648" s="84" t="s">
        <v>16</v>
      </c>
      <c r="D648" s="26"/>
      <c r="E648" s="48"/>
      <c r="F648" s="161"/>
      <c r="G648" s="161"/>
      <c r="H648" s="161"/>
      <c r="I648" s="161"/>
      <c r="J648" s="106"/>
      <c r="K648" s="133"/>
    </row>
    <row r="649" spans="1:11" ht="12.75">
      <c r="A649" s="189">
        <f t="shared" si="45"/>
        <v>563</v>
      </c>
      <c r="B649" s="4"/>
      <c r="C649" s="84" t="s">
        <v>175</v>
      </c>
      <c r="D649" s="26"/>
      <c r="E649" s="48"/>
      <c r="F649" s="161">
        <v>0</v>
      </c>
      <c r="G649" s="161"/>
      <c r="H649" s="161">
        <v>0</v>
      </c>
      <c r="I649" s="161">
        <v>3000</v>
      </c>
      <c r="J649" s="106"/>
      <c r="K649" s="133">
        <f t="shared" si="46"/>
        <v>9.070124120905656E-05</v>
      </c>
    </row>
    <row r="650" spans="1:11" ht="12.75">
      <c r="A650" s="189">
        <f t="shared" si="45"/>
        <v>564</v>
      </c>
      <c r="B650" s="4"/>
      <c r="C650" s="84" t="s">
        <v>176</v>
      </c>
      <c r="D650" s="26"/>
      <c r="E650" s="48"/>
      <c r="F650" s="161">
        <v>0</v>
      </c>
      <c r="G650" s="161"/>
      <c r="H650" s="161">
        <v>0</v>
      </c>
      <c r="I650" s="161">
        <v>3000</v>
      </c>
      <c r="J650" s="106"/>
      <c r="K650" s="133">
        <f t="shared" si="46"/>
        <v>9.070124120905656E-05</v>
      </c>
    </row>
    <row r="651" spans="1:11" ht="12.75">
      <c r="A651" s="189">
        <f t="shared" si="45"/>
        <v>565</v>
      </c>
      <c r="B651" s="4">
        <v>4750</v>
      </c>
      <c r="C651" s="84" t="s">
        <v>447</v>
      </c>
      <c r="D651" s="26"/>
      <c r="E651" s="48"/>
      <c r="F651" s="161"/>
      <c r="G651" s="161"/>
      <c r="H651" s="161"/>
      <c r="I651" s="161"/>
      <c r="J651" s="106"/>
      <c r="K651" s="133"/>
    </row>
    <row r="652" spans="1:11" ht="12.75">
      <c r="A652" s="189">
        <f t="shared" si="45"/>
        <v>566</v>
      </c>
      <c r="B652" s="4"/>
      <c r="C652" s="84" t="s">
        <v>448</v>
      </c>
      <c r="D652" s="26"/>
      <c r="E652" s="48"/>
      <c r="F652" s="161">
        <f>SUM(F654:F655)</f>
        <v>0</v>
      </c>
      <c r="G652" s="161"/>
      <c r="H652" s="161">
        <f>SUM(H654:H655)</f>
        <v>0</v>
      </c>
      <c r="I652" s="161">
        <f>SUM(I654:I655)</f>
        <v>28600</v>
      </c>
      <c r="J652" s="106"/>
      <c r="K652" s="133">
        <f t="shared" si="46"/>
        <v>0.000864685166193006</v>
      </c>
    </row>
    <row r="653" spans="1:11" ht="12.75">
      <c r="A653" s="189">
        <f t="shared" si="45"/>
        <v>567</v>
      </c>
      <c r="B653" s="4"/>
      <c r="C653" s="84" t="s">
        <v>16</v>
      </c>
      <c r="D653" s="26"/>
      <c r="E653" s="48"/>
      <c r="F653" s="161"/>
      <c r="G653" s="161"/>
      <c r="H653" s="161"/>
      <c r="I653" s="161"/>
      <c r="J653" s="106"/>
      <c r="K653" s="133"/>
    </row>
    <row r="654" spans="1:11" ht="12.75">
      <c r="A654" s="189">
        <f t="shared" si="45"/>
        <v>568</v>
      </c>
      <c r="B654" s="4"/>
      <c r="C654" s="84" t="s">
        <v>175</v>
      </c>
      <c r="D654" s="26"/>
      <c r="E654" s="48"/>
      <c r="F654" s="161">
        <v>0</v>
      </c>
      <c r="G654" s="161"/>
      <c r="H654" s="161">
        <v>0</v>
      </c>
      <c r="I654" s="161">
        <f>6000+21000</f>
        <v>27000</v>
      </c>
      <c r="J654" s="106"/>
      <c r="K654" s="133">
        <f t="shared" si="46"/>
        <v>0.0008163111708815091</v>
      </c>
    </row>
    <row r="655" spans="1:11" ht="12.75">
      <c r="A655" s="189">
        <f t="shared" si="45"/>
        <v>569</v>
      </c>
      <c r="B655" s="4"/>
      <c r="C655" s="84" t="s">
        <v>176</v>
      </c>
      <c r="D655" s="26"/>
      <c r="E655" s="48"/>
      <c r="F655" s="161">
        <v>0</v>
      </c>
      <c r="G655" s="161"/>
      <c r="H655" s="161">
        <v>0</v>
      </c>
      <c r="I655" s="161">
        <v>1600</v>
      </c>
      <c r="J655" s="106"/>
      <c r="K655" s="133">
        <f t="shared" si="46"/>
        <v>4.8373995311496835E-05</v>
      </c>
    </row>
    <row r="656" spans="1:11" ht="11.25" customHeight="1">
      <c r="A656" s="189">
        <f t="shared" si="45"/>
        <v>570</v>
      </c>
      <c r="B656" s="4">
        <v>6050</v>
      </c>
      <c r="C656" s="84" t="s">
        <v>259</v>
      </c>
      <c r="D656" s="26"/>
      <c r="E656" s="48"/>
      <c r="F656" s="161"/>
      <c r="G656" s="161"/>
      <c r="H656" s="161"/>
      <c r="I656" s="161"/>
      <c r="J656" s="106"/>
      <c r="K656" s="133"/>
    </row>
    <row r="657" spans="1:11" ht="12.75">
      <c r="A657" s="189">
        <f t="shared" si="45"/>
        <v>571</v>
      </c>
      <c r="B657" s="4"/>
      <c r="C657" s="84" t="s">
        <v>174</v>
      </c>
      <c r="D657" s="26"/>
      <c r="E657" s="47">
        <f>SUM(E659:E660)</f>
        <v>8900</v>
      </c>
      <c r="F657" s="29">
        <f>SUM(F659:F660)</f>
        <v>188260</v>
      </c>
      <c r="G657" s="29">
        <f>SUM(G659:G660)</f>
        <v>-5000</v>
      </c>
      <c r="H657" s="29">
        <f>SUM(H659:H660)</f>
        <v>188260</v>
      </c>
      <c r="I657" s="29">
        <f>SUM(I659:I660)</f>
        <v>0</v>
      </c>
      <c r="J657" s="106"/>
      <c r="K657" s="133">
        <f t="shared" si="46"/>
        <v>0</v>
      </c>
    </row>
    <row r="658" spans="1:11" ht="12.75">
      <c r="A658" s="189">
        <f t="shared" si="45"/>
        <v>572</v>
      </c>
      <c r="B658" s="4"/>
      <c r="C658" s="84" t="s">
        <v>16</v>
      </c>
      <c r="D658" s="26"/>
      <c r="E658" s="48"/>
      <c r="F658" s="161"/>
      <c r="G658" s="161"/>
      <c r="H658" s="161"/>
      <c r="I658" s="161"/>
      <c r="J658" s="106"/>
      <c r="K658" s="133"/>
    </row>
    <row r="659" spans="1:11" ht="12.75">
      <c r="A659" s="189">
        <f t="shared" si="45"/>
        <v>573</v>
      </c>
      <c r="B659" s="4"/>
      <c r="C659" s="84" t="s">
        <v>468</v>
      </c>
      <c r="D659" s="26"/>
      <c r="E659" s="48">
        <v>3900</v>
      </c>
      <c r="F659" s="161">
        <v>148260</v>
      </c>
      <c r="G659" s="161">
        <v>0</v>
      </c>
      <c r="H659" s="161">
        <v>148260</v>
      </c>
      <c r="I659" s="161">
        <v>0</v>
      </c>
      <c r="J659" s="106"/>
      <c r="K659" s="133">
        <f t="shared" si="46"/>
        <v>0</v>
      </c>
    </row>
    <row r="660" spans="1:11" ht="12.75">
      <c r="A660" s="189">
        <f t="shared" si="45"/>
        <v>574</v>
      </c>
      <c r="B660" s="4"/>
      <c r="C660" s="84" t="s">
        <v>469</v>
      </c>
      <c r="D660" s="26"/>
      <c r="E660" s="48">
        <v>5000</v>
      </c>
      <c r="F660" s="161">
        <v>40000</v>
      </c>
      <c r="G660" s="161">
        <v>-5000</v>
      </c>
      <c r="H660" s="161">
        <v>40000</v>
      </c>
      <c r="I660" s="161">
        <v>0</v>
      </c>
      <c r="J660" s="106"/>
      <c r="K660" s="133">
        <f t="shared" si="46"/>
        <v>0</v>
      </c>
    </row>
    <row r="661" spans="1:11" ht="12.75">
      <c r="A661" s="189">
        <f t="shared" si="45"/>
        <v>575</v>
      </c>
      <c r="B661" s="4">
        <v>6060</v>
      </c>
      <c r="C661" s="84" t="s">
        <v>260</v>
      </c>
      <c r="D661" s="26"/>
      <c r="E661" s="48"/>
      <c r="F661" s="161"/>
      <c r="G661" s="161"/>
      <c r="H661" s="161"/>
      <c r="I661" s="161"/>
      <c r="J661" s="106"/>
      <c r="K661" s="133"/>
    </row>
    <row r="662" spans="1:11" ht="12.75">
      <c r="A662" s="189">
        <f t="shared" si="45"/>
        <v>576</v>
      </c>
      <c r="B662" s="4"/>
      <c r="C662" s="84" t="s">
        <v>375</v>
      </c>
      <c r="D662" s="26"/>
      <c r="E662" s="48"/>
      <c r="F662" s="161">
        <v>6100</v>
      </c>
      <c r="G662" s="161"/>
      <c r="H662" s="161">
        <v>6100</v>
      </c>
      <c r="I662" s="161">
        <v>5000</v>
      </c>
      <c r="J662" s="106">
        <f>I662/H662</f>
        <v>0.819672131147541</v>
      </c>
      <c r="K662" s="133">
        <f t="shared" si="46"/>
        <v>0.0001511687353484276</v>
      </c>
    </row>
    <row r="663" spans="1:11" s="75" customFormat="1" ht="12.75">
      <c r="A663" s="189">
        <f>A662+1</f>
        <v>577</v>
      </c>
      <c r="B663" s="64">
        <v>80103</v>
      </c>
      <c r="C663" s="70" t="s">
        <v>343</v>
      </c>
      <c r="D663" s="65"/>
      <c r="E663" s="74"/>
      <c r="F663" s="174"/>
      <c r="G663" s="174"/>
      <c r="H663" s="174"/>
      <c r="I663" s="174"/>
      <c r="J663" s="217"/>
      <c r="K663" s="139"/>
    </row>
    <row r="664" spans="1:11" s="75" customFormat="1" ht="12.75">
      <c r="A664" s="189">
        <f t="shared" si="45"/>
        <v>578</v>
      </c>
      <c r="B664" s="152"/>
      <c r="C664" s="70" t="s">
        <v>342</v>
      </c>
      <c r="D664" s="65"/>
      <c r="E664" s="74"/>
      <c r="F664" s="174">
        <f>SUM(F665:F670)</f>
        <v>35195</v>
      </c>
      <c r="G664" s="174"/>
      <c r="H664" s="174">
        <f>SUM(H665:H670)</f>
        <v>35179.740000000005</v>
      </c>
      <c r="I664" s="174">
        <f>SUM(I665:I670)</f>
        <v>34845</v>
      </c>
      <c r="J664" s="217">
        <f>I664/H664</f>
        <v>0.990484864299736</v>
      </c>
      <c r="K664" s="139">
        <f>I664/I$54</f>
        <v>0.001053494916643192</v>
      </c>
    </row>
    <row r="665" spans="1:11" ht="12.75">
      <c r="A665" s="189">
        <f t="shared" si="45"/>
        <v>579</v>
      </c>
      <c r="B665" s="4">
        <v>3020</v>
      </c>
      <c r="C665" s="84" t="s">
        <v>297</v>
      </c>
      <c r="D665" s="26"/>
      <c r="E665" s="47">
        <v>2700</v>
      </c>
      <c r="F665" s="161">
        <v>2727</v>
      </c>
      <c r="G665" s="29">
        <v>-100</v>
      </c>
      <c r="H665" s="161">
        <v>2727</v>
      </c>
      <c r="I665" s="161">
        <v>2442</v>
      </c>
      <c r="J665" s="106">
        <f aca="true" t="shared" si="47" ref="J665:J670">I665/H665</f>
        <v>0.8954895489548955</v>
      </c>
      <c r="K665" s="133">
        <f aca="true" t="shared" si="48" ref="K665:K670">I665/I$54</f>
        <v>7.383081034417204E-05</v>
      </c>
    </row>
    <row r="666" spans="1:11" ht="12.75">
      <c r="A666" s="189">
        <f t="shared" si="45"/>
        <v>580</v>
      </c>
      <c r="B666" s="4">
        <v>4010</v>
      </c>
      <c r="C666" s="84" t="s">
        <v>30</v>
      </c>
      <c r="D666" s="26"/>
      <c r="E666" s="47">
        <v>65850</v>
      </c>
      <c r="F666" s="161">
        <v>22990</v>
      </c>
      <c r="G666" s="161">
        <v>-1700</v>
      </c>
      <c r="H666" s="161">
        <v>22990</v>
      </c>
      <c r="I666" s="161">
        <v>22990</v>
      </c>
      <c r="J666" s="106">
        <f t="shared" si="47"/>
        <v>1</v>
      </c>
      <c r="K666" s="133">
        <f t="shared" si="48"/>
        <v>0.0006950738451320702</v>
      </c>
    </row>
    <row r="667" spans="1:11" ht="12.75">
      <c r="A667" s="189">
        <f t="shared" si="45"/>
        <v>581</v>
      </c>
      <c r="B667" s="4">
        <v>4040</v>
      </c>
      <c r="C667" s="84" t="s">
        <v>31</v>
      </c>
      <c r="D667" s="26"/>
      <c r="E667" s="47">
        <v>5000</v>
      </c>
      <c r="F667" s="161">
        <v>1880</v>
      </c>
      <c r="G667" s="161">
        <v>-100</v>
      </c>
      <c r="H667" s="161">
        <v>1864.74</v>
      </c>
      <c r="I667" s="161">
        <v>1960</v>
      </c>
      <c r="J667" s="106">
        <f t="shared" si="47"/>
        <v>1.0510848697405537</v>
      </c>
      <c r="K667" s="133">
        <f t="shared" si="48"/>
        <v>5.925814425658362E-05</v>
      </c>
    </row>
    <row r="668" spans="1:11" ht="12.75">
      <c r="A668" s="189">
        <f t="shared" si="45"/>
        <v>582</v>
      </c>
      <c r="B668" s="4">
        <v>4110</v>
      </c>
      <c r="C668" s="84" t="s">
        <v>35</v>
      </c>
      <c r="D668" s="26"/>
      <c r="E668" s="47">
        <v>12930</v>
      </c>
      <c r="F668" s="161">
        <v>4970</v>
      </c>
      <c r="G668" s="161">
        <v>-300</v>
      </c>
      <c r="H668" s="161">
        <v>4970</v>
      </c>
      <c r="I668" s="161">
        <v>4800</v>
      </c>
      <c r="J668" s="106">
        <f t="shared" si="47"/>
        <v>0.96579476861167</v>
      </c>
      <c r="K668" s="133">
        <f t="shared" si="48"/>
        <v>0.0001451219859344905</v>
      </c>
    </row>
    <row r="669" spans="1:11" ht="12.75">
      <c r="A669" s="189">
        <f t="shared" si="45"/>
        <v>583</v>
      </c>
      <c r="B669" s="4">
        <v>4120</v>
      </c>
      <c r="C669" s="84" t="s">
        <v>36</v>
      </c>
      <c r="D669" s="26"/>
      <c r="E669" s="47">
        <v>1800</v>
      </c>
      <c r="F669" s="161">
        <v>678</v>
      </c>
      <c r="G669" s="161">
        <v>0</v>
      </c>
      <c r="H669" s="161">
        <v>678</v>
      </c>
      <c r="I669" s="161">
        <v>678</v>
      </c>
      <c r="J669" s="106">
        <f t="shared" si="47"/>
        <v>1</v>
      </c>
      <c r="K669" s="133">
        <f t="shared" si="48"/>
        <v>2.0498480513246786E-05</v>
      </c>
    </row>
    <row r="670" spans="1:11" ht="12.75">
      <c r="A670" s="189">
        <f t="shared" si="45"/>
        <v>584</v>
      </c>
      <c r="B670" s="4">
        <v>4440</v>
      </c>
      <c r="C670" s="84" t="s">
        <v>50</v>
      </c>
      <c r="D670" s="26"/>
      <c r="E670" s="47">
        <v>4320</v>
      </c>
      <c r="F670" s="161">
        <v>1950</v>
      </c>
      <c r="G670" s="161">
        <v>0</v>
      </c>
      <c r="H670" s="161">
        <v>1950</v>
      </c>
      <c r="I670" s="161">
        <v>1975</v>
      </c>
      <c r="J670" s="106">
        <f t="shared" si="47"/>
        <v>1.0128205128205128</v>
      </c>
      <c r="K670" s="133">
        <f t="shared" si="48"/>
        <v>5.971165046262891E-05</v>
      </c>
    </row>
    <row r="671" spans="1:11" s="75" customFormat="1" ht="12.75">
      <c r="A671" s="189">
        <f t="shared" si="45"/>
        <v>585</v>
      </c>
      <c r="B671" s="64">
        <v>80104</v>
      </c>
      <c r="C671" s="70" t="s">
        <v>246</v>
      </c>
      <c r="D671" s="65"/>
      <c r="E671" s="66">
        <f>SUM(E672:E689)</f>
        <v>92600</v>
      </c>
      <c r="F671" s="65">
        <f>SUM(F672:F696)</f>
        <v>1291012</v>
      </c>
      <c r="G671" s="65">
        <f>SUM(G672:G696)</f>
        <v>-2200</v>
      </c>
      <c r="H671" s="65">
        <f>SUM(H672:H696)</f>
        <v>1286769.8599999999</v>
      </c>
      <c r="I671" s="65">
        <f>SUM(I672:I696)</f>
        <v>1328641</v>
      </c>
      <c r="J671" s="217">
        <f aca="true" t="shared" si="49" ref="J671:J689">I671/H671</f>
        <v>1.0325397270340169</v>
      </c>
      <c r="K671" s="139">
        <f aca="true" t="shared" si="50" ref="K671:K696">I671/I$54</f>
        <v>0.04016979594041404</v>
      </c>
    </row>
    <row r="672" spans="1:11" ht="12.75">
      <c r="A672" s="189">
        <f t="shared" si="45"/>
        <v>586</v>
      </c>
      <c r="B672" s="4">
        <v>3020</v>
      </c>
      <c r="C672" s="84" t="s">
        <v>297</v>
      </c>
      <c r="D672" s="26"/>
      <c r="E672" s="47">
        <v>2700</v>
      </c>
      <c r="F672" s="161">
        <v>3700</v>
      </c>
      <c r="G672" s="29">
        <v>-100</v>
      </c>
      <c r="H672" s="161">
        <v>3700</v>
      </c>
      <c r="I672" s="161">
        <v>3800</v>
      </c>
      <c r="J672" s="106">
        <f t="shared" si="49"/>
        <v>1.027027027027027</v>
      </c>
      <c r="K672" s="133">
        <f t="shared" si="50"/>
        <v>0.00011488823886480499</v>
      </c>
    </row>
    <row r="673" spans="1:11" ht="12.75">
      <c r="A673" s="189">
        <f t="shared" si="45"/>
        <v>587</v>
      </c>
      <c r="B673" s="4">
        <v>4010</v>
      </c>
      <c r="C673" s="84" t="s">
        <v>30</v>
      </c>
      <c r="D673" s="26"/>
      <c r="E673" s="47">
        <v>65850</v>
      </c>
      <c r="F673" s="161">
        <v>665460</v>
      </c>
      <c r="G673" s="161">
        <v>-1700</v>
      </c>
      <c r="H673" s="161">
        <v>665460</v>
      </c>
      <c r="I673" s="161">
        <v>711391</v>
      </c>
      <c r="J673" s="106">
        <f t="shared" si="49"/>
        <v>1.0690214287861028</v>
      </c>
      <c r="K673" s="133">
        <f t="shared" si="50"/>
        <v>0.021508015561650655</v>
      </c>
    </row>
    <row r="674" spans="1:11" ht="12.75">
      <c r="A674" s="189">
        <f t="shared" si="45"/>
        <v>588</v>
      </c>
      <c r="B674" s="4">
        <v>4040</v>
      </c>
      <c r="C674" s="84" t="s">
        <v>31</v>
      </c>
      <c r="D674" s="26"/>
      <c r="E674" s="47">
        <v>5000</v>
      </c>
      <c r="F674" s="161">
        <v>51000</v>
      </c>
      <c r="G674" s="161">
        <v>-100</v>
      </c>
      <c r="H674" s="161">
        <v>46759.86</v>
      </c>
      <c r="I674" s="161">
        <v>54000</v>
      </c>
      <c r="J674" s="106">
        <f t="shared" si="49"/>
        <v>1.1548366483560901</v>
      </c>
      <c r="K674" s="133">
        <f t="shared" si="50"/>
        <v>0.0016326223417630183</v>
      </c>
    </row>
    <row r="675" spans="1:11" ht="12.75">
      <c r="A675" s="189">
        <f t="shared" si="45"/>
        <v>589</v>
      </c>
      <c r="B675" s="4">
        <v>4110</v>
      </c>
      <c r="C675" s="84" t="s">
        <v>35</v>
      </c>
      <c r="D675" s="26"/>
      <c r="E675" s="47">
        <v>12930</v>
      </c>
      <c r="F675" s="161">
        <v>128972</v>
      </c>
      <c r="G675" s="161">
        <v>-300</v>
      </c>
      <c r="H675" s="161">
        <v>128972</v>
      </c>
      <c r="I675" s="161">
        <v>131100</v>
      </c>
      <c r="J675" s="106">
        <f t="shared" si="49"/>
        <v>1.0164997053624043</v>
      </c>
      <c r="K675" s="133">
        <f t="shared" si="50"/>
        <v>0.003963644240835772</v>
      </c>
    </row>
    <row r="676" spans="1:11" ht="12.75">
      <c r="A676" s="189">
        <f t="shared" si="45"/>
        <v>590</v>
      </c>
      <c r="B676" s="4">
        <v>4120</v>
      </c>
      <c r="C676" s="84" t="s">
        <v>36</v>
      </c>
      <c r="D676" s="26"/>
      <c r="E676" s="47">
        <v>1800</v>
      </c>
      <c r="F676" s="161">
        <v>17540</v>
      </c>
      <c r="G676" s="161">
        <v>0</v>
      </c>
      <c r="H676" s="161">
        <v>17540</v>
      </c>
      <c r="I676" s="161">
        <v>17900</v>
      </c>
      <c r="J676" s="106">
        <f t="shared" si="49"/>
        <v>1.0205245153933866</v>
      </c>
      <c r="K676" s="133">
        <f t="shared" si="50"/>
        <v>0.0005411840725473709</v>
      </c>
    </row>
    <row r="677" spans="1:11" ht="12.75">
      <c r="A677" s="189">
        <f t="shared" si="45"/>
        <v>591</v>
      </c>
      <c r="B677" s="4">
        <v>4210</v>
      </c>
      <c r="C677" s="84" t="s">
        <v>162</v>
      </c>
      <c r="D677" s="26"/>
      <c r="E677" s="47"/>
      <c r="F677" s="161">
        <v>124920</v>
      </c>
      <c r="G677" s="161"/>
      <c r="H677" s="161">
        <v>124920</v>
      </c>
      <c r="I677" s="161">
        <v>40900</v>
      </c>
      <c r="J677" s="106">
        <f t="shared" si="49"/>
        <v>0.32740954210694845</v>
      </c>
      <c r="K677" s="133">
        <f t="shared" si="50"/>
        <v>0.0012365602551501378</v>
      </c>
    </row>
    <row r="678" spans="1:11" ht="12.75">
      <c r="A678" s="189">
        <f t="shared" si="45"/>
        <v>592</v>
      </c>
      <c r="B678" s="4">
        <v>4220</v>
      </c>
      <c r="C678" s="84" t="s">
        <v>169</v>
      </c>
      <c r="D678" s="26"/>
      <c r="E678" s="47"/>
      <c r="F678" s="161">
        <v>98840</v>
      </c>
      <c r="G678" s="161"/>
      <c r="H678" s="161">
        <v>98840</v>
      </c>
      <c r="I678" s="161">
        <v>123680</v>
      </c>
      <c r="J678" s="106">
        <f t="shared" si="49"/>
        <v>1.2513152569809793</v>
      </c>
      <c r="K678" s="133">
        <f t="shared" si="50"/>
        <v>0.0037393098375787053</v>
      </c>
    </row>
    <row r="679" spans="1:11" ht="12.75">
      <c r="A679" s="189">
        <f t="shared" si="45"/>
        <v>593</v>
      </c>
      <c r="B679" s="4">
        <v>4240</v>
      </c>
      <c r="C679" s="84" t="s">
        <v>170</v>
      </c>
      <c r="D679" s="26"/>
      <c r="E679" s="47"/>
      <c r="F679" s="161"/>
      <c r="G679" s="161"/>
      <c r="H679" s="161"/>
      <c r="I679" s="161"/>
      <c r="J679" s="106"/>
      <c r="K679" s="133"/>
    </row>
    <row r="680" spans="1:11" ht="12.75">
      <c r="A680" s="189">
        <f t="shared" si="45"/>
        <v>594</v>
      </c>
      <c r="B680" s="4"/>
      <c r="C680" s="84" t="s">
        <v>171</v>
      </c>
      <c r="D680" s="26"/>
      <c r="E680" s="47"/>
      <c r="F680" s="161">
        <v>8200</v>
      </c>
      <c r="G680" s="161"/>
      <c r="H680" s="161">
        <v>8200</v>
      </c>
      <c r="I680" s="161">
        <v>10000</v>
      </c>
      <c r="J680" s="106">
        <f t="shared" si="49"/>
        <v>1.2195121951219512</v>
      </c>
      <c r="K680" s="133">
        <f t="shared" si="50"/>
        <v>0.0003023374706968552</v>
      </c>
    </row>
    <row r="681" spans="1:11" ht="12.75">
      <c r="A681" s="189">
        <f t="shared" si="45"/>
        <v>595</v>
      </c>
      <c r="B681" s="4">
        <v>4260</v>
      </c>
      <c r="C681" s="84" t="s">
        <v>165</v>
      </c>
      <c r="D681" s="26"/>
      <c r="E681" s="47"/>
      <c r="F681" s="161">
        <v>24700</v>
      </c>
      <c r="G681" s="161"/>
      <c r="H681" s="161">
        <v>24700</v>
      </c>
      <c r="I681" s="161">
        <v>80800</v>
      </c>
      <c r="J681" s="106">
        <f t="shared" si="49"/>
        <v>3.2712550607287447</v>
      </c>
      <c r="K681" s="133">
        <f t="shared" si="50"/>
        <v>0.0024428867632305903</v>
      </c>
    </row>
    <row r="682" spans="1:11" ht="12.75">
      <c r="A682" s="189">
        <f t="shared" si="45"/>
        <v>596</v>
      </c>
      <c r="B682" s="4">
        <v>4270</v>
      </c>
      <c r="C682" s="84" t="s">
        <v>161</v>
      </c>
      <c r="D682" s="26"/>
      <c r="E682" s="47"/>
      <c r="F682" s="161">
        <v>79000</v>
      </c>
      <c r="G682" s="161"/>
      <c r="H682" s="161">
        <v>79000</v>
      </c>
      <c r="I682" s="161">
        <v>80000</v>
      </c>
      <c r="J682" s="106">
        <f t="shared" si="49"/>
        <v>1.0126582278481013</v>
      </c>
      <c r="K682" s="133">
        <f t="shared" si="50"/>
        <v>0.0024186997655748417</v>
      </c>
    </row>
    <row r="683" spans="1:11" ht="12.75">
      <c r="A683" s="189">
        <f t="shared" si="45"/>
        <v>597</v>
      </c>
      <c r="B683" s="4">
        <v>4280</v>
      </c>
      <c r="C683" s="84" t="s">
        <v>396</v>
      </c>
      <c r="D683" s="26"/>
      <c r="E683" s="47"/>
      <c r="F683" s="161">
        <v>880</v>
      </c>
      <c r="G683" s="161"/>
      <c r="H683" s="161">
        <v>880</v>
      </c>
      <c r="I683" s="161">
        <v>980</v>
      </c>
      <c r="J683" s="106">
        <f t="shared" si="49"/>
        <v>1.1136363636363635</v>
      </c>
      <c r="K683" s="133">
        <f t="shared" si="50"/>
        <v>2.962907212829181E-05</v>
      </c>
    </row>
    <row r="684" spans="1:11" ht="12.75">
      <c r="A684" s="189">
        <f t="shared" si="45"/>
        <v>598</v>
      </c>
      <c r="B684" s="4">
        <v>4300</v>
      </c>
      <c r="C684" s="84" t="s">
        <v>173</v>
      </c>
      <c r="D684" s="26"/>
      <c r="E684" s="47"/>
      <c r="F684" s="161">
        <v>19400</v>
      </c>
      <c r="G684" s="161"/>
      <c r="H684" s="161">
        <v>19400</v>
      </c>
      <c r="I684" s="161">
        <v>15600</v>
      </c>
      <c r="J684" s="106">
        <f t="shared" si="49"/>
        <v>0.8041237113402062</v>
      </c>
      <c r="K684" s="133">
        <f t="shared" si="50"/>
        <v>0.00047164645428709415</v>
      </c>
    </row>
    <row r="685" spans="1:11" ht="12.75">
      <c r="A685" s="189">
        <f t="shared" si="45"/>
        <v>599</v>
      </c>
      <c r="B685" s="4">
        <v>4370</v>
      </c>
      <c r="C685" s="84" t="s">
        <v>474</v>
      </c>
      <c r="D685" s="26"/>
      <c r="E685" s="47"/>
      <c r="F685" s="161"/>
      <c r="G685" s="161"/>
      <c r="H685" s="161"/>
      <c r="I685" s="161"/>
      <c r="J685" s="106"/>
      <c r="K685" s="133"/>
    </row>
    <row r="686" spans="1:11" ht="12.75">
      <c r="A686" s="189">
        <f t="shared" si="45"/>
        <v>600</v>
      </c>
      <c r="B686" s="4"/>
      <c r="C686" s="84" t="s">
        <v>510</v>
      </c>
      <c r="D686" s="26"/>
      <c r="E686" s="47"/>
      <c r="F686" s="161">
        <v>0</v>
      </c>
      <c r="G686" s="161"/>
      <c r="H686" s="161">
        <v>0</v>
      </c>
      <c r="I686" s="161">
        <v>5200</v>
      </c>
      <c r="J686" s="106"/>
      <c r="K686" s="133">
        <f t="shared" si="50"/>
        <v>0.0001572154847623647</v>
      </c>
    </row>
    <row r="687" spans="1:11" ht="12.75">
      <c r="A687" s="189">
        <f t="shared" si="45"/>
        <v>601</v>
      </c>
      <c r="B687" s="4">
        <v>4410</v>
      </c>
      <c r="C687" s="84" t="s">
        <v>32</v>
      </c>
      <c r="D687" s="26"/>
      <c r="E687" s="47"/>
      <c r="F687" s="161">
        <v>800</v>
      </c>
      <c r="G687" s="161"/>
      <c r="H687" s="161">
        <v>800</v>
      </c>
      <c r="I687" s="161">
        <v>900</v>
      </c>
      <c r="J687" s="106">
        <f t="shared" si="49"/>
        <v>1.125</v>
      </c>
      <c r="K687" s="133">
        <f t="shared" si="50"/>
        <v>2.721037236271697E-05</v>
      </c>
    </row>
    <row r="688" spans="1:11" ht="12.75">
      <c r="A688" s="189">
        <f t="shared" si="45"/>
        <v>602</v>
      </c>
      <c r="B688" s="4">
        <v>4430</v>
      </c>
      <c r="C688" s="84" t="s">
        <v>44</v>
      </c>
      <c r="D688" s="26"/>
      <c r="E688" s="47"/>
      <c r="F688" s="161">
        <v>1100</v>
      </c>
      <c r="G688" s="161"/>
      <c r="H688" s="161">
        <v>1100</v>
      </c>
      <c r="I688" s="161">
        <v>1100</v>
      </c>
      <c r="J688" s="106">
        <f t="shared" si="49"/>
        <v>1</v>
      </c>
      <c r="K688" s="133">
        <f t="shared" si="50"/>
        <v>3.325712177665407E-05</v>
      </c>
    </row>
    <row r="689" spans="1:11" ht="12.75">
      <c r="A689" s="189">
        <f t="shared" si="45"/>
        <v>603</v>
      </c>
      <c r="B689" s="4">
        <v>4440</v>
      </c>
      <c r="C689" s="84" t="s">
        <v>50</v>
      </c>
      <c r="D689" s="26"/>
      <c r="E689" s="47">
        <v>4320</v>
      </c>
      <c r="F689" s="161">
        <v>33500</v>
      </c>
      <c r="G689" s="161">
        <v>0</v>
      </c>
      <c r="H689" s="161">
        <v>33500</v>
      </c>
      <c r="I689" s="161">
        <v>35500</v>
      </c>
      <c r="J689" s="106">
        <f t="shared" si="49"/>
        <v>1.0597014925373134</v>
      </c>
      <c r="K689" s="133">
        <f t="shared" si="50"/>
        <v>0.001073298020973836</v>
      </c>
    </row>
    <row r="690" spans="1:11" ht="12.75">
      <c r="A690" s="189">
        <f t="shared" si="45"/>
        <v>604</v>
      </c>
      <c r="B690" s="4">
        <v>4740</v>
      </c>
      <c r="C690" s="84" t="s">
        <v>445</v>
      </c>
      <c r="D690" s="26"/>
      <c r="E690" s="47"/>
      <c r="F690" s="161"/>
      <c r="G690" s="161"/>
      <c r="H690" s="161"/>
      <c r="I690" s="161"/>
      <c r="J690" s="106"/>
      <c r="K690" s="133"/>
    </row>
    <row r="691" spans="1:11" ht="12.75">
      <c r="A691" s="189">
        <f t="shared" si="45"/>
        <v>605</v>
      </c>
      <c r="B691" s="4"/>
      <c r="C691" s="84" t="s">
        <v>446</v>
      </c>
      <c r="D691" s="26"/>
      <c r="E691" s="47"/>
      <c r="F691" s="161">
        <v>0</v>
      </c>
      <c r="G691" s="161"/>
      <c r="H691" s="161">
        <v>0</v>
      </c>
      <c r="I691" s="161">
        <v>790</v>
      </c>
      <c r="J691" s="106"/>
      <c r="K691" s="133">
        <f t="shared" si="50"/>
        <v>2.388466018505156E-05</v>
      </c>
    </row>
    <row r="692" spans="1:11" ht="12.75">
      <c r="A692" s="189">
        <f t="shared" si="45"/>
        <v>606</v>
      </c>
      <c r="B692" s="4">
        <v>4750</v>
      </c>
      <c r="C692" s="84" t="s">
        <v>447</v>
      </c>
      <c r="D692" s="26"/>
      <c r="E692" s="47"/>
      <c r="F692" s="161"/>
      <c r="G692" s="161"/>
      <c r="H692" s="161"/>
      <c r="I692" s="161"/>
      <c r="J692" s="106"/>
      <c r="K692" s="133"/>
    </row>
    <row r="693" spans="1:11" ht="12.75">
      <c r="A693" s="189">
        <f t="shared" si="45"/>
        <v>607</v>
      </c>
      <c r="B693" s="4"/>
      <c r="C693" s="84" t="s">
        <v>448</v>
      </c>
      <c r="D693" s="26"/>
      <c r="E693" s="47"/>
      <c r="F693" s="161">
        <v>0</v>
      </c>
      <c r="G693" s="161"/>
      <c r="H693" s="161">
        <v>0</v>
      </c>
      <c r="I693" s="161">
        <v>1500</v>
      </c>
      <c r="J693" s="106"/>
      <c r="K693" s="133">
        <f t="shared" si="50"/>
        <v>4.535062060452828E-05</v>
      </c>
    </row>
    <row r="694" spans="1:11" ht="12.75">
      <c r="A694" s="189">
        <f t="shared" si="45"/>
        <v>608</v>
      </c>
      <c r="B694" s="4">
        <v>6050</v>
      </c>
      <c r="C694" s="84" t="s">
        <v>470</v>
      </c>
      <c r="D694" s="26"/>
      <c r="E694" s="47"/>
      <c r="F694" s="161"/>
      <c r="G694" s="161"/>
      <c r="H694" s="161"/>
      <c r="I694" s="161"/>
      <c r="J694" s="106"/>
      <c r="K694" s="133"/>
    </row>
    <row r="695" spans="1:11" ht="12.75">
      <c r="A695" s="189">
        <f t="shared" si="45"/>
        <v>609</v>
      </c>
      <c r="B695" s="4"/>
      <c r="C695" s="84" t="s">
        <v>471</v>
      </c>
      <c r="D695" s="26"/>
      <c r="E695" s="47"/>
      <c r="F695" s="161">
        <v>20000</v>
      </c>
      <c r="G695" s="161"/>
      <c r="H695" s="161">
        <v>20000</v>
      </c>
      <c r="I695" s="161">
        <v>0</v>
      </c>
      <c r="J695" s="106"/>
      <c r="K695" s="133">
        <f t="shared" si="50"/>
        <v>0</v>
      </c>
    </row>
    <row r="696" spans="1:11" ht="12.75">
      <c r="A696" s="189">
        <f t="shared" si="45"/>
        <v>610</v>
      </c>
      <c r="B696" s="4">
        <v>6060</v>
      </c>
      <c r="C696" s="84" t="s">
        <v>260</v>
      </c>
      <c r="D696" s="26"/>
      <c r="E696" s="47"/>
      <c r="F696" s="161">
        <v>13000</v>
      </c>
      <c r="G696" s="161"/>
      <c r="H696" s="161">
        <v>12998</v>
      </c>
      <c r="I696" s="161">
        <v>13500</v>
      </c>
      <c r="J696" s="106"/>
      <c r="K696" s="133">
        <f t="shared" si="50"/>
        <v>0.0004081555854407546</v>
      </c>
    </row>
    <row r="697" spans="1:11" s="30" customFormat="1" ht="12.75">
      <c r="A697" s="189">
        <f>A696+1</f>
        <v>611</v>
      </c>
      <c r="B697" s="11">
        <v>80110</v>
      </c>
      <c r="C697" s="70" t="s">
        <v>206</v>
      </c>
      <c r="D697" s="27"/>
      <c r="E697" s="46">
        <f>SUM(E698:E727)</f>
        <v>1253500</v>
      </c>
      <c r="F697" s="27">
        <f>SUM(F698:F728)</f>
        <v>2027056</v>
      </c>
      <c r="G697" s="27">
        <f>SUM(G698:G727)</f>
        <v>-65000</v>
      </c>
      <c r="H697" s="27">
        <f>SUM(H698:H728)</f>
        <v>2026956.16</v>
      </c>
      <c r="I697" s="27">
        <f>SUM(I698:I728)</f>
        <v>1982795</v>
      </c>
      <c r="J697" s="217">
        <f aca="true" t="shared" si="51" ref="J697:J703">I697/H697</f>
        <v>0.9782130660388827</v>
      </c>
      <c r="K697" s="139">
        <f aca="true" t="shared" si="52" ref="K697:K756">I697/I$54</f>
        <v>0.05994732252103711</v>
      </c>
    </row>
    <row r="698" spans="1:11" ht="12.75">
      <c r="A698" s="189">
        <f aca="true" t="shared" si="53" ref="A698:A760">A697+1</f>
        <v>612</v>
      </c>
      <c r="B698" s="4">
        <v>3020</v>
      </c>
      <c r="C698" s="84" t="s">
        <v>297</v>
      </c>
      <c r="D698" s="26"/>
      <c r="E698" s="48">
        <v>5600</v>
      </c>
      <c r="F698" s="161">
        <v>6100</v>
      </c>
      <c r="G698" s="161">
        <v>-2000</v>
      </c>
      <c r="H698" s="161">
        <v>6100</v>
      </c>
      <c r="I698" s="161">
        <v>6200</v>
      </c>
      <c r="J698" s="106">
        <f t="shared" si="51"/>
        <v>1.0163934426229508</v>
      </c>
      <c r="K698" s="133">
        <f t="shared" si="52"/>
        <v>0.00018744923183205023</v>
      </c>
    </row>
    <row r="699" spans="1:11" ht="12.75">
      <c r="A699" s="189">
        <f t="shared" si="53"/>
        <v>613</v>
      </c>
      <c r="B699" s="4">
        <v>3240</v>
      </c>
      <c r="C699" s="84" t="s">
        <v>348</v>
      </c>
      <c r="D699" s="26"/>
      <c r="E699" s="48"/>
      <c r="F699" s="161">
        <v>0</v>
      </c>
      <c r="G699" s="161"/>
      <c r="H699" s="161">
        <v>0</v>
      </c>
      <c r="I699" s="161">
        <v>0</v>
      </c>
      <c r="J699" s="106"/>
      <c r="K699" s="133">
        <f t="shared" si="52"/>
        <v>0</v>
      </c>
    </row>
    <row r="700" spans="1:11" ht="12.75">
      <c r="A700" s="189">
        <f t="shared" si="53"/>
        <v>614</v>
      </c>
      <c r="B700" s="4">
        <v>4010</v>
      </c>
      <c r="C700" s="84" t="s">
        <v>30</v>
      </c>
      <c r="D700" s="26"/>
      <c r="E700" s="48">
        <f>518900+4200+1000+5300+180400+5400+400+1000+4600</f>
        <v>721200</v>
      </c>
      <c r="F700" s="161">
        <v>1167252</v>
      </c>
      <c r="G700" s="161">
        <v>-7100</v>
      </c>
      <c r="H700" s="161">
        <v>1167252</v>
      </c>
      <c r="I700" s="161">
        <v>1158850</v>
      </c>
      <c r="J700" s="106">
        <f t="shared" si="51"/>
        <v>0.9928018971053381</v>
      </c>
      <c r="K700" s="133">
        <f t="shared" si="52"/>
        <v>0.03503637779170507</v>
      </c>
    </row>
    <row r="701" spans="1:11" ht="12.75">
      <c r="A701" s="189">
        <f t="shared" si="53"/>
        <v>615</v>
      </c>
      <c r="B701" s="4">
        <v>4040</v>
      </c>
      <c r="C701" s="84" t="s">
        <v>31</v>
      </c>
      <c r="D701" s="26"/>
      <c r="E701" s="48">
        <v>62900</v>
      </c>
      <c r="F701" s="161">
        <v>84300</v>
      </c>
      <c r="G701" s="161">
        <v>0</v>
      </c>
      <c r="H701" s="161">
        <v>84254.44</v>
      </c>
      <c r="I701" s="161">
        <v>97400</v>
      </c>
      <c r="J701" s="106">
        <f t="shared" si="51"/>
        <v>1.156022163342371</v>
      </c>
      <c r="K701" s="133">
        <f t="shared" si="52"/>
        <v>0.0029447669645873698</v>
      </c>
    </row>
    <row r="702" spans="1:11" ht="12.75">
      <c r="A702" s="189">
        <f t="shared" si="53"/>
        <v>616</v>
      </c>
      <c r="B702" s="4">
        <v>4110</v>
      </c>
      <c r="C702" s="84" t="s">
        <v>35</v>
      </c>
      <c r="D702" s="26"/>
      <c r="E702" s="48">
        <v>141000</v>
      </c>
      <c r="F702" s="161">
        <v>217770</v>
      </c>
      <c r="G702" s="161">
        <v>-6900</v>
      </c>
      <c r="H702" s="161">
        <v>217770</v>
      </c>
      <c r="I702" s="161">
        <v>217000</v>
      </c>
      <c r="J702" s="106">
        <f t="shared" si="51"/>
        <v>0.9964641594342655</v>
      </c>
      <c r="K702" s="133">
        <f t="shared" si="52"/>
        <v>0.006560723114121758</v>
      </c>
    </row>
    <row r="703" spans="1:11" ht="12.75">
      <c r="A703" s="189">
        <f t="shared" si="53"/>
        <v>617</v>
      </c>
      <c r="B703" s="4">
        <v>4120</v>
      </c>
      <c r="C703" s="84" t="s">
        <v>36</v>
      </c>
      <c r="D703" s="26"/>
      <c r="E703" s="48">
        <v>19400</v>
      </c>
      <c r="F703" s="161">
        <v>30136</v>
      </c>
      <c r="G703" s="161">
        <v>-1000</v>
      </c>
      <c r="H703" s="161">
        <v>30136</v>
      </c>
      <c r="I703" s="161">
        <v>29600</v>
      </c>
      <c r="J703" s="106">
        <f t="shared" si="51"/>
        <v>0.9822139633660738</v>
      </c>
      <c r="K703" s="133">
        <f t="shared" si="52"/>
        <v>0.0008949189132626915</v>
      </c>
    </row>
    <row r="704" spans="1:11" ht="12.75">
      <c r="A704" s="189">
        <f t="shared" si="53"/>
        <v>618</v>
      </c>
      <c r="B704" s="4">
        <v>4140</v>
      </c>
      <c r="C704" s="84" t="s">
        <v>187</v>
      </c>
      <c r="D704" s="26"/>
      <c r="E704" s="48"/>
      <c r="F704" s="161">
        <v>0</v>
      </c>
      <c r="G704" s="161"/>
      <c r="H704" s="161">
        <v>0</v>
      </c>
      <c r="I704" s="161">
        <v>0</v>
      </c>
      <c r="J704" s="106"/>
      <c r="K704" s="133">
        <f t="shared" si="52"/>
        <v>0</v>
      </c>
    </row>
    <row r="705" spans="1:11" ht="12.75">
      <c r="A705" s="189">
        <f t="shared" si="53"/>
        <v>619</v>
      </c>
      <c r="B705" s="4">
        <v>4170</v>
      </c>
      <c r="C705" s="84" t="s">
        <v>327</v>
      </c>
      <c r="D705" s="26"/>
      <c r="E705" s="48"/>
      <c r="F705" s="161">
        <v>4500</v>
      </c>
      <c r="G705" s="161"/>
      <c r="H705" s="161">
        <v>4500</v>
      </c>
      <c r="I705" s="161">
        <v>0</v>
      </c>
      <c r="J705" s="106"/>
      <c r="K705" s="133">
        <f t="shared" si="52"/>
        <v>0</v>
      </c>
    </row>
    <row r="706" spans="1:11" ht="12.75">
      <c r="A706" s="189">
        <f t="shared" si="53"/>
        <v>620</v>
      </c>
      <c r="B706" s="4">
        <v>4210</v>
      </c>
      <c r="C706" s="84" t="s">
        <v>172</v>
      </c>
      <c r="D706" s="26"/>
      <c r="E706" s="48">
        <f>74900-6000-12000-3000-7200-11000-1800</f>
        <v>33900</v>
      </c>
      <c r="F706" s="161">
        <f>80400-10000-1800</f>
        <v>68600</v>
      </c>
      <c r="G706" s="161">
        <v>0</v>
      </c>
      <c r="H706" s="161">
        <v>68600</v>
      </c>
      <c r="I706" s="161">
        <v>70000</v>
      </c>
      <c r="J706" s="106">
        <f>I706/H706</f>
        <v>1.0204081632653061</v>
      </c>
      <c r="K706" s="133">
        <f t="shared" si="52"/>
        <v>0.0021163622948779867</v>
      </c>
    </row>
    <row r="707" spans="1:11" ht="12.75">
      <c r="A707" s="189">
        <f t="shared" si="53"/>
        <v>621</v>
      </c>
      <c r="B707" s="4">
        <v>4220</v>
      </c>
      <c r="C707" s="84" t="s">
        <v>169</v>
      </c>
      <c r="D707" s="26"/>
      <c r="E707" s="48">
        <v>0</v>
      </c>
      <c r="F707" s="161">
        <v>73500</v>
      </c>
      <c r="G707" s="161">
        <v>0</v>
      </c>
      <c r="H707" s="161">
        <v>73500</v>
      </c>
      <c r="I707" s="161">
        <v>74000</v>
      </c>
      <c r="J707" s="106">
        <f>I707/H707</f>
        <v>1.0068027210884354</v>
      </c>
      <c r="K707" s="133">
        <f t="shared" si="52"/>
        <v>0.0022372972831567286</v>
      </c>
    </row>
    <row r="708" spans="1:11" ht="12.75">
      <c r="A708" s="189">
        <f t="shared" si="53"/>
        <v>622</v>
      </c>
      <c r="B708" s="4">
        <v>4240</v>
      </c>
      <c r="C708" s="84" t="s">
        <v>170</v>
      </c>
      <c r="D708" s="26"/>
      <c r="E708" s="48"/>
      <c r="F708" s="161"/>
      <c r="G708" s="161"/>
      <c r="H708" s="161"/>
      <c r="I708" s="161"/>
      <c r="J708" s="106"/>
      <c r="K708" s="133"/>
    </row>
    <row r="709" spans="1:11" ht="12.75">
      <c r="A709" s="189">
        <f t="shared" si="53"/>
        <v>623</v>
      </c>
      <c r="B709" s="4"/>
      <c r="C709" s="84" t="s">
        <v>171</v>
      </c>
      <c r="D709" s="26"/>
      <c r="E709" s="48">
        <v>13500</v>
      </c>
      <c r="F709" s="161">
        <v>14200</v>
      </c>
      <c r="G709" s="161">
        <v>0</v>
      </c>
      <c r="H709" s="161">
        <v>14200</v>
      </c>
      <c r="I709" s="161">
        <v>11000</v>
      </c>
      <c r="J709" s="106">
        <f aca="true" t="shared" si="54" ref="J709:J719">I709/H709</f>
        <v>0.7746478873239436</v>
      </c>
      <c r="K709" s="133">
        <f t="shared" si="52"/>
        <v>0.00033257121776654073</v>
      </c>
    </row>
    <row r="710" spans="1:11" ht="12.75">
      <c r="A710" s="189">
        <f t="shared" si="53"/>
        <v>624</v>
      </c>
      <c r="B710" s="4">
        <v>4260</v>
      </c>
      <c r="C710" s="84" t="s">
        <v>165</v>
      </c>
      <c r="D710" s="26"/>
      <c r="E710" s="48">
        <v>59000</v>
      </c>
      <c r="F710" s="161">
        <f>58000+10000</f>
        <v>68000</v>
      </c>
      <c r="G710" s="161">
        <v>-3900</v>
      </c>
      <c r="H710" s="161">
        <f>58000+10000</f>
        <v>68000</v>
      </c>
      <c r="I710" s="161">
        <v>73000</v>
      </c>
      <c r="J710" s="106">
        <f t="shared" si="54"/>
        <v>1.0735294117647058</v>
      </c>
      <c r="K710" s="133">
        <f t="shared" si="52"/>
        <v>0.0022070635360870432</v>
      </c>
    </row>
    <row r="711" spans="1:11" ht="12.75">
      <c r="A711" s="189">
        <f t="shared" si="53"/>
        <v>625</v>
      </c>
      <c r="B711" s="4">
        <v>4270</v>
      </c>
      <c r="C711" s="84" t="s">
        <v>161</v>
      </c>
      <c r="D711" s="26"/>
      <c r="E711" s="48">
        <v>64000</v>
      </c>
      <c r="F711" s="161">
        <v>50000</v>
      </c>
      <c r="G711" s="161">
        <v>-4400</v>
      </c>
      <c r="H711" s="161">
        <v>50000</v>
      </c>
      <c r="I711" s="161">
        <v>55000</v>
      </c>
      <c r="J711" s="106">
        <f t="shared" si="54"/>
        <v>1.1</v>
      </c>
      <c r="K711" s="133">
        <f t="shared" si="52"/>
        <v>0.0016628560888327037</v>
      </c>
    </row>
    <row r="712" spans="1:11" ht="12.75">
      <c r="A712" s="189">
        <f t="shared" si="53"/>
        <v>626</v>
      </c>
      <c r="B712" s="4">
        <v>4280</v>
      </c>
      <c r="C712" s="84" t="s">
        <v>396</v>
      </c>
      <c r="D712" s="26"/>
      <c r="E712" s="48"/>
      <c r="F712" s="161">
        <v>2100</v>
      </c>
      <c r="G712" s="161"/>
      <c r="H712" s="161">
        <v>2100</v>
      </c>
      <c r="I712" s="161">
        <v>2100</v>
      </c>
      <c r="J712" s="106">
        <f t="shared" si="54"/>
        <v>1</v>
      </c>
      <c r="K712" s="133">
        <f t="shared" si="52"/>
        <v>6.349086884633959E-05</v>
      </c>
    </row>
    <row r="713" spans="1:11" ht="12.75">
      <c r="A713" s="189">
        <f t="shared" si="53"/>
        <v>627</v>
      </c>
      <c r="B713" s="4">
        <v>4300</v>
      </c>
      <c r="C713" s="84" t="s">
        <v>160</v>
      </c>
      <c r="D713" s="26"/>
      <c r="E713" s="48">
        <v>74900</v>
      </c>
      <c r="F713" s="161">
        <f>72400-1900</f>
        <v>70500</v>
      </c>
      <c r="G713" s="161">
        <v>-39700</v>
      </c>
      <c r="H713" s="161">
        <v>70500</v>
      </c>
      <c r="I713" s="161">
        <v>51000</v>
      </c>
      <c r="J713" s="106">
        <f t="shared" si="54"/>
        <v>0.723404255319149</v>
      </c>
      <c r="K713" s="133">
        <f t="shared" si="52"/>
        <v>0.0015419211005539616</v>
      </c>
    </row>
    <row r="714" spans="1:11" ht="12.75">
      <c r="A714" s="189">
        <f t="shared" si="53"/>
        <v>628</v>
      </c>
      <c r="B714" s="4">
        <v>4350</v>
      </c>
      <c r="C714" s="84" t="s">
        <v>493</v>
      </c>
      <c r="D714" s="26"/>
      <c r="E714" s="48"/>
      <c r="F714" s="161">
        <v>1900</v>
      </c>
      <c r="G714" s="161"/>
      <c r="H714" s="161">
        <v>1900</v>
      </c>
      <c r="I714" s="161">
        <v>2000</v>
      </c>
      <c r="J714" s="106">
        <f t="shared" si="54"/>
        <v>1.0526315789473684</v>
      </c>
      <c r="K714" s="133">
        <f t="shared" si="52"/>
        <v>6.0467494139371045E-05</v>
      </c>
    </row>
    <row r="715" spans="1:11" ht="12.75">
      <c r="A715" s="189">
        <f t="shared" si="53"/>
        <v>629</v>
      </c>
      <c r="B715" s="4">
        <v>4370</v>
      </c>
      <c r="C715" s="84" t="s">
        <v>474</v>
      </c>
      <c r="D715" s="26"/>
      <c r="E715" s="48"/>
      <c r="F715" s="161"/>
      <c r="G715" s="161"/>
      <c r="H715" s="161"/>
      <c r="I715" s="161"/>
      <c r="J715" s="106"/>
      <c r="K715" s="133"/>
    </row>
    <row r="716" spans="1:11" ht="12.75">
      <c r="A716" s="189">
        <f t="shared" si="53"/>
        <v>630</v>
      </c>
      <c r="B716" s="4"/>
      <c r="C716" s="84" t="s">
        <v>510</v>
      </c>
      <c r="D716" s="26"/>
      <c r="E716" s="48"/>
      <c r="F716" s="161">
        <v>0</v>
      </c>
      <c r="G716" s="161"/>
      <c r="H716" s="161">
        <v>0</v>
      </c>
      <c r="I716" s="161">
        <v>15600</v>
      </c>
      <c r="J716" s="106"/>
      <c r="K716" s="133"/>
    </row>
    <row r="717" spans="1:11" ht="12.75">
      <c r="A717" s="189">
        <f t="shared" si="53"/>
        <v>631</v>
      </c>
      <c r="B717" s="4">
        <v>4410</v>
      </c>
      <c r="C717" s="84" t="s">
        <v>32</v>
      </c>
      <c r="D717" s="26"/>
      <c r="E717" s="48">
        <v>7000</v>
      </c>
      <c r="F717" s="161">
        <v>8000</v>
      </c>
      <c r="G717" s="161">
        <v>0</v>
      </c>
      <c r="H717" s="161">
        <v>8000</v>
      </c>
      <c r="I717" s="161">
        <v>8000</v>
      </c>
      <c r="J717" s="106">
        <f t="shared" si="54"/>
        <v>1</v>
      </c>
      <c r="K717" s="133">
        <f t="shared" si="52"/>
        <v>0.00024186997655748418</v>
      </c>
    </row>
    <row r="718" spans="1:11" ht="12.75">
      <c r="A718" s="189">
        <f t="shared" si="53"/>
        <v>632</v>
      </c>
      <c r="B718" s="4">
        <v>4430</v>
      </c>
      <c r="C718" s="84" t="s">
        <v>44</v>
      </c>
      <c r="D718" s="26"/>
      <c r="E718" s="48">
        <v>2000</v>
      </c>
      <c r="F718" s="161">
        <v>3000</v>
      </c>
      <c r="G718" s="161">
        <v>0</v>
      </c>
      <c r="H718" s="161">
        <v>3000</v>
      </c>
      <c r="I718" s="161">
        <v>3800</v>
      </c>
      <c r="J718" s="106">
        <f t="shared" si="54"/>
        <v>1.2666666666666666</v>
      </c>
      <c r="K718" s="133">
        <f t="shared" si="52"/>
        <v>0.00011488823886480499</v>
      </c>
    </row>
    <row r="719" spans="1:11" ht="12.75">
      <c r="A719" s="189">
        <f t="shared" si="53"/>
        <v>633</v>
      </c>
      <c r="B719" s="4">
        <v>4440</v>
      </c>
      <c r="C719" s="84" t="s">
        <v>50</v>
      </c>
      <c r="D719" s="26"/>
      <c r="E719" s="48">
        <v>43100</v>
      </c>
      <c r="F719" s="161">
        <v>74998</v>
      </c>
      <c r="G719" s="161">
        <v>0</v>
      </c>
      <c r="H719" s="161">
        <v>74998</v>
      </c>
      <c r="I719" s="161">
        <v>66245</v>
      </c>
      <c r="J719" s="106">
        <f t="shared" si="54"/>
        <v>0.8832902210725619</v>
      </c>
      <c r="K719" s="133">
        <f t="shared" si="52"/>
        <v>0.0020028345746313176</v>
      </c>
    </row>
    <row r="720" spans="1:11" ht="12.75">
      <c r="A720" s="189"/>
      <c r="B720" s="4"/>
      <c r="C720" s="84"/>
      <c r="D720" s="26"/>
      <c r="E720" s="48"/>
      <c r="F720" s="161"/>
      <c r="G720" s="161"/>
      <c r="H720" s="161"/>
      <c r="I720" s="161"/>
      <c r="J720" s="106"/>
      <c r="K720" s="133"/>
    </row>
    <row r="721" spans="1:11" ht="12.75">
      <c r="A721" s="189">
        <f>A719+1</f>
        <v>634</v>
      </c>
      <c r="B721" s="4">
        <v>4700</v>
      </c>
      <c r="C721" s="84" t="s">
        <v>514</v>
      </c>
      <c r="D721" s="26"/>
      <c r="E721" s="48"/>
      <c r="F721" s="161"/>
      <c r="G721" s="161"/>
      <c r="H721" s="161"/>
      <c r="I721" s="161"/>
      <c r="J721" s="106"/>
      <c r="K721" s="133"/>
    </row>
    <row r="722" spans="1:11" ht="12.75">
      <c r="A722" s="189">
        <f t="shared" si="53"/>
        <v>635</v>
      </c>
      <c r="B722" s="4"/>
      <c r="C722" s="84" t="s">
        <v>513</v>
      </c>
      <c r="D722" s="26"/>
      <c r="E722" s="48"/>
      <c r="F722" s="161">
        <v>0</v>
      </c>
      <c r="G722" s="161"/>
      <c r="H722" s="161">
        <v>0</v>
      </c>
      <c r="I722" s="161">
        <v>5000</v>
      </c>
      <c r="J722" s="106"/>
      <c r="K722" s="133">
        <f t="shared" si="52"/>
        <v>0.0001511687353484276</v>
      </c>
    </row>
    <row r="723" spans="1:11" ht="12.75">
      <c r="A723" s="189">
        <f t="shared" si="53"/>
        <v>636</v>
      </c>
      <c r="B723" s="4">
        <v>4740</v>
      </c>
      <c r="C723" s="84" t="s">
        <v>445</v>
      </c>
      <c r="D723" s="26"/>
      <c r="E723" s="48"/>
      <c r="F723" s="161"/>
      <c r="G723" s="161"/>
      <c r="H723" s="161"/>
      <c r="I723" s="161"/>
      <c r="J723" s="106"/>
      <c r="K723" s="133"/>
    </row>
    <row r="724" spans="1:11" ht="12.75">
      <c r="A724" s="189">
        <f t="shared" si="53"/>
        <v>637</v>
      </c>
      <c r="B724" s="4"/>
      <c r="C724" s="84" t="s">
        <v>446</v>
      </c>
      <c r="D724" s="26"/>
      <c r="E724" s="48"/>
      <c r="F724" s="161">
        <v>0</v>
      </c>
      <c r="G724" s="161"/>
      <c r="H724" s="161">
        <v>0</v>
      </c>
      <c r="I724" s="161">
        <v>4500</v>
      </c>
      <c r="J724" s="106"/>
      <c r="K724" s="133">
        <f t="shared" si="52"/>
        <v>0.00013605186181358484</v>
      </c>
    </row>
    <row r="725" spans="1:11" ht="12.75">
      <c r="A725" s="189">
        <f t="shared" si="53"/>
        <v>638</v>
      </c>
      <c r="B725" s="4">
        <v>4750</v>
      </c>
      <c r="C725" s="84" t="s">
        <v>447</v>
      </c>
      <c r="D725" s="26"/>
      <c r="E725" s="48"/>
      <c r="F725" s="161"/>
      <c r="G725" s="161"/>
      <c r="H725" s="161"/>
      <c r="I725" s="161"/>
      <c r="J725" s="106"/>
      <c r="K725" s="133"/>
    </row>
    <row r="726" spans="1:11" ht="12.75">
      <c r="A726" s="189">
        <f t="shared" si="53"/>
        <v>639</v>
      </c>
      <c r="B726" s="4"/>
      <c r="C726" s="84" t="s">
        <v>448</v>
      </c>
      <c r="D726" s="26"/>
      <c r="E726" s="48"/>
      <c r="F726" s="161">
        <v>0</v>
      </c>
      <c r="G726" s="161"/>
      <c r="H726" s="161">
        <v>0</v>
      </c>
      <c r="I726" s="161">
        <v>5500</v>
      </c>
      <c r="J726" s="106"/>
      <c r="K726" s="133">
        <f t="shared" si="52"/>
        <v>0.00016628560888327037</v>
      </c>
    </row>
    <row r="727" spans="1:11" ht="12.75">
      <c r="A727" s="189">
        <f t="shared" si="53"/>
        <v>640</v>
      </c>
      <c r="B727" s="4">
        <v>6050</v>
      </c>
      <c r="C727" s="112" t="s">
        <v>472</v>
      </c>
      <c r="D727" s="26"/>
      <c r="E727" s="48">
        <v>6000</v>
      </c>
      <c r="F727" s="161">
        <f>72000+5000</f>
        <v>77000</v>
      </c>
      <c r="G727" s="161">
        <v>0</v>
      </c>
      <c r="H727" s="161">
        <v>77000</v>
      </c>
      <c r="I727" s="161">
        <v>0</v>
      </c>
      <c r="J727" s="106"/>
      <c r="K727" s="133">
        <f t="shared" si="52"/>
        <v>0</v>
      </c>
    </row>
    <row r="728" spans="1:11" ht="12.75">
      <c r="A728" s="189">
        <f t="shared" si="53"/>
        <v>641</v>
      </c>
      <c r="B728" s="4">
        <v>6060</v>
      </c>
      <c r="C728" s="84" t="s">
        <v>260</v>
      </c>
      <c r="D728" s="26"/>
      <c r="E728" s="48"/>
      <c r="F728" s="161">
        <v>5200</v>
      </c>
      <c r="G728" s="161"/>
      <c r="H728" s="161">
        <v>5145.72</v>
      </c>
      <c r="I728" s="161">
        <v>27000</v>
      </c>
      <c r="J728" s="106"/>
      <c r="K728" s="133">
        <f t="shared" si="52"/>
        <v>0.0008163111708815091</v>
      </c>
    </row>
    <row r="729" spans="1:11" s="30" customFormat="1" ht="12.75">
      <c r="A729" s="189">
        <f t="shared" si="53"/>
        <v>642</v>
      </c>
      <c r="B729" s="11">
        <v>80113</v>
      </c>
      <c r="C729" s="70" t="s">
        <v>51</v>
      </c>
      <c r="D729" s="27"/>
      <c r="E729" s="46">
        <f>E732</f>
        <v>81000</v>
      </c>
      <c r="F729" s="27">
        <f>SUM(F731:F732)</f>
        <v>94110</v>
      </c>
      <c r="G729" s="27">
        <f>G732</f>
        <v>0</v>
      </c>
      <c r="H729" s="27">
        <f>SUM(H731:H732)</f>
        <v>94110</v>
      </c>
      <c r="I729" s="27">
        <f>SUM(I731:I732)</f>
        <v>103360</v>
      </c>
      <c r="J729" s="217">
        <f>I729/H729</f>
        <v>1.098289236000425</v>
      </c>
      <c r="K729" s="133">
        <f t="shared" si="52"/>
        <v>0.0031249600971226957</v>
      </c>
    </row>
    <row r="730" spans="1:11" s="62" customFormat="1" ht="12.75">
      <c r="A730" s="189">
        <f t="shared" si="53"/>
        <v>643</v>
      </c>
      <c r="B730" s="111">
        <v>2820</v>
      </c>
      <c r="C730" s="84" t="s">
        <v>376</v>
      </c>
      <c r="D730" s="89"/>
      <c r="E730" s="88"/>
      <c r="F730" s="170"/>
      <c r="G730" s="170"/>
      <c r="H730" s="170"/>
      <c r="I730" s="170"/>
      <c r="J730" s="106"/>
      <c r="K730" s="133"/>
    </row>
    <row r="731" spans="1:11" s="62" customFormat="1" ht="12.75">
      <c r="A731" s="189">
        <f t="shared" si="53"/>
        <v>644</v>
      </c>
      <c r="B731" s="111"/>
      <c r="C731" s="112" t="s">
        <v>377</v>
      </c>
      <c r="D731" s="89"/>
      <c r="E731" s="88"/>
      <c r="F731" s="170">
        <v>16000</v>
      </c>
      <c r="G731" s="170"/>
      <c r="H731" s="170">
        <v>16000</v>
      </c>
      <c r="I731" s="170">
        <v>17000</v>
      </c>
      <c r="J731" s="106">
        <f>I731/H731</f>
        <v>1.0625</v>
      </c>
      <c r="K731" s="133">
        <f>I731/I$54</f>
        <v>0.0005139737001846539</v>
      </c>
    </row>
    <row r="732" spans="1:11" ht="12.75">
      <c r="A732" s="189">
        <f t="shared" si="53"/>
        <v>645</v>
      </c>
      <c r="B732" s="4">
        <v>4300</v>
      </c>
      <c r="C732" s="84" t="s">
        <v>160</v>
      </c>
      <c r="D732" s="26"/>
      <c r="E732" s="48">
        <v>81000</v>
      </c>
      <c r="F732" s="161">
        <v>78110</v>
      </c>
      <c r="G732" s="161">
        <f>H732-F732</f>
        <v>0</v>
      </c>
      <c r="H732" s="161">
        <v>78110</v>
      </c>
      <c r="I732" s="161">
        <v>86360</v>
      </c>
      <c r="J732" s="106">
        <f>I732/H732</f>
        <v>1.105620279093586</v>
      </c>
      <c r="K732" s="133">
        <f t="shared" si="52"/>
        <v>0.002610986396938042</v>
      </c>
    </row>
    <row r="733" spans="1:11" s="75" customFormat="1" ht="12.75">
      <c r="A733" s="189">
        <f t="shared" si="53"/>
        <v>646</v>
      </c>
      <c r="B733" s="64">
        <v>80146</v>
      </c>
      <c r="C733" s="70" t="s">
        <v>223</v>
      </c>
      <c r="D733" s="65"/>
      <c r="E733" s="74"/>
      <c r="F733" s="174">
        <f>F734+F739+F745</f>
        <v>18746</v>
      </c>
      <c r="G733" s="174" t="e">
        <f>G734+#REF!+#REF!+G739+G745</f>
        <v>#REF!</v>
      </c>
      <c r="H733" s="174">
        <f>H734+H739+H745</f>
        <v>18746</v>
      </c>
      <c r="I733" s="174">
        <f>I734+I739+I745</f>
        <v>24761</v>
      </c>
      <c r="J733" s="217">
        <f>I733/H733</f>
        <v>1.3208684519364131</v>
      </c>
      <c r="K733" s="139">
        <f t="shared" si="52"/>
        <v>0.0007486178111924832</v>
      </c>
    </row>
    <row r="734" spans="1:11" s="75" customFormat="1" ht="12.75">
      <c r="A734" s="189">
        <f t="shared" si="53"/>
        <v>647</v>
      </c>
      <c r="B734" s="4">
        <v>3250</v>
      </c>
      <c r="C734" s="84" t="s">
        <v>46</v>
      </c>
      <c r="D734" s="65"/>
      <c r="E734" s="74"/>
      <c r="F734" s="170">
        <f>SUM(F736:F738)</f>
        <v>0</v>
      </c>
      <c r="G734" s="170"/>
      <c r="H734" s="170">
        <f>SUM(H736:H738)</f>
        <v>0</v>
      </c>
      <c r="I734" s="170">
        <f>SUM(I736:I738)</f>
        <v>2600</v>
      </c>
      <c r="J734" s="106"/>
      <c r="K734" s="133">
        <f t="shared" si="52"/>
        <v>7.860774238118235E-05</v>
      </c>
    </row>
    <row r="735" spans="1:11" s="75" customFormat="1" ht="12.75">
      <c r="A735" s="189">
        <f t="shared" si="53"/>
        <v>648</v>
      </c>
      <c r="B735" s="4"/>
      <c r="C735" s="84" t="s">
        <v>16</v>
      </c>
      <c r="D735" s="65"/>
      <c r="E735" s="74"/>
      <c r="F735" s="170"/>
      <c r="G735" s="170"/>
      <c r="H735" s="170"/>
      <c r="I735" s="170"/>
      <c r="J735" s="106"/>
      <c r="K735" s="133"/>
    </row>
    <row r="736" spans="1:11" s="75" customFormat="1" ht="12.75">
      <c r="A736" s="189">
        <f t="shared" si="53"/>
        <v>649</v>
      </c>
      <c r="B736" s="4"/>
      <c r="C736" s="84" t="s">
        <v>175</v>
      </c>
      <c r="D736" s="65"/>
      <c r="E736" s="74"/>
      <c r="F736" s="170">
        <v>0</v>
      </c>
      <c r="G736" s="170"/>
      <c r="H736" s="170">
        <v>0</v>
      </c>
      <c r="I736" s="170">
        <v>0</v>
      </c>
      <c r="J736" s="106"/>
      <c r="K736" s="133">
        <f t="shared" si="52"/>
        <v>0</v>
      </c>
    </row>
    <row r="737" spans="1:11" s="75" customFormat="1" ht="12.75">
      <c r="A737" s="189">
        <f t="shared" si="53"/>
        <v>650</v>
      </c>
      <c r="B737" s="4"/>
      <c r="C737" s="84" t="s">
        <v>176</v>
      </c>
      <c r="D737" s="65"/>
      <c r="E737" s="74"/>
      <c r="F737" s="170">
        <v>0</v>
      </c>
      <c r="G737" s="170"/>
      <c r="H737" s="170">
        <v>0</v>
      </c>
      <c r="I737" s="170">
        <v>0</v>
      </c>
      <c r="J737" s="106"/>
      <c r="K737" s="133">
        <f t="shared" si="52"/>
        <v>0</v>
      </c>
    </row>
    <row r="738" spans="1:11" s="75" customFormat="1" ht="12.75">
      <c r="A738" s="189">
        <f t="shared" si="53"/>
        <v>651</v>
      </c>
      <c r="B738" s="4"/>
      <c r="C738" s="84" t="s">
        <v>52</v>
      </c>
      <c r="D738" s="65"/>
      <c r="E738" s="74"/>
      <c r="F738" s="170">
        <v>0</v>
      </c>
      <c r="G738" s="170"/>
      <c r="H738" s="170">
        <v>0</v>
      </c>
      <c r="I738" s="170">
        <v>2600</v>
      </c>
      <c r="J738" s="106"/>
      <c r="K738" s="133">
        <f t="shared" si="52"/>
        <v>7.860774238118235E-05</v>
      </c>
    </row>
    <row r="739" spans="1:11" ht="12.75">
      <c r="A739" s="189">
        <f t="shared" si="53"/>
        <v>652</v>
      </c>
      <c r="B739" s="4">
        <v>4300</v>
      </c>
      <c r="C739" s="84" t="s">
        <v>160</v>
      </c>
      <c r="D739" s="26"/>
      <c r="E739" s="48"/>
      <c r="F739" s="161">
        <f>SUM(F741:F744)</f>
        <v>13546</v>
      </c>
      <c r="G739" s="161"/>
      <c r="H739" s="161">
        <f>SUM(H741:H744)</f>
        <v>13546</v>
      </c>
      <c r="I739" s="161">
        <f>SUM(I741:I744)</f>
        <v>14961</v>
      </c>
      <c r="J739" s="106">
        <f>I739/H739</f>
        <v>1.1044588808504356</v>
      </c>
      <c r="K739" s="133">
        <f t="shared" si="52"/>
        <v>0.0004523270899095651</v>
      </c>
    </row>
    <row r="740" spans="1:11" ht="12.75">
      <c r="A740" s="189">
        <f t="shared" si="53"/>
        <v>653</v>
      </c>
      <c r="B740" s="4"/>
      <c r="C740" s="84" t="s">
        <v>16</v>
      </c>
      <c r="D740" s="26"/>
      <c r="E740" s="48"/>
      <c r="F740" s="161"/>
      <c r="G740" s="161"/>
      <c r="H740" s="161"/>
      <c r="I740" s="161"/>
      <c r="J740" s="106"/>
      <c r="K740" s="133"/>
    </row>
    <row r="741" spans="1:11" ht="12.75">
      <c r="A741" s="189">
        <f t="shared" si="53"/>
        <v>654</v>
      </c>
      <c r="B741" s="4"/>
      <c r="C741" s="84" t="s">
        <v>175</v>
      </c>
      <c r="D741" s="26"/>
      <c r="E741" s="48"/>
      <c r="F741" s="161">
        <v>5100</v>
      </c>
      <c r="G741" s="161"/>
      <c r="H741" s="161">
        <v>5100</v>
      </c>
      <c r="I741" s="161">
        <v>6000</v>
      </c>
      <c r="J741" s="106">
        <f>I741/H741</f>
        <v>1.1764705882352942</v>
      </c>
      <c r="K741" s="133">
        <f t="shared" si="52"/>
        <v>0.00018140248241811313</v>
      </c>
    </row>
    <row r="742" spans="1:11" ht="12.75">
      <c r="A742" s="189">
        <f t="shared" si="53"/>
        <v>655</v>
      </c>
      <c r="B742" s="4"/>
      <c r="C742" s="84" t="s">
        <v>176</v>
      </c>
      <c r="D742" s="26"/>
      <c r="E742" s="48"/>
      <c r="F742" s="161">
        <v>2500</v>
      </c>
      <c r="G742" s="161"/>
      <c r="H742" s="161">
        <v>2500</v>
      </c>
      <c r="I742" s="161">
        <v>2100</v>
      </c>
      <c r="J742" s="106">
        <f>I742/H742</f>
        <v>0.84</v>
      </c>
      <c r="K742" s="133">
        <f t="shared" si="52"/>
        <v>6.349086884633959E-05</v>
      </c>
    </row>
    <row r="743" spans="1:11" ht="12.75">
      <c r="A743" s="189">
        <f t="shared" si="53"/>
        <v>656</v>
      </c>
      <c r="B743" s="4"/>
      <c r="C743" s="84" t="s">
        <v>224</v>
      </c>
      <c r="D743" s="26"/>
      <c r="E743" s="48"/>
      <c r="F743" s="161">
        <v>2946</v>
      </c>
      <c r="G743" s="161"/>
      <c r="H743" s="161">
        <v>2946</v>
      </c>
      <c r="I743" s="161">
        <v>3261</v>
      </c>
      <c r="J743" s="106">
        <f>I743/H743</f>
        <v>1.1069246435845215</v>
      </c>
      <c r="K743" s="133">
        <f>I743/I$54</f>
        <v>9.859224919424448E-05</v>
      </c>
    </row>
    <row r="744" spans="1:11" ht="12.75">
      <c r="A744" s="189">
        <f t="shared" si="53"/>
        <v>657</v>
      </c>
      <c r="B744" s="4"/>
      <c r="C744" s="84" t="s">
        <v>52</v>
      </c>
      <c r="D744" s="26"/>
      <c r="E744" s="48"/>
      <c r="F744" s="161">
        <f>3400-400</f>
        <v>3000</v>
      </c>
      <c r="G744" s="161"/>
      <c r="H744" s="161">
        <v>3000</v>
      </c>
      <c r="I744" s="161">
        <v>3600</v>
      </c>
      <c r="J744" s="106">
        <f>I744/H744</f>
        <v>1.2</v>
      </c>
      <c r="K744" s="133">
        <f t="shared" si="52"/>
        <v>0.00010884148945086788</v>
      </c>
    </row>
    <row r="745" spans="1:11" ht="12.75">
      <c r="A745" s="189">
        <f t="shared" si="53"/>
        <v>658</v>
      </c>
      <c r="B745" s="4">
        <v>4410</v>
      </c>
      <c r="C745" s="84" t="s">
        <v>32</v>
      </c>
      <c r="D745" s="26"/>
      <c r="E745" s="48"/>
      <c r="F745" s="161">
        <f>SUM(F747:F749)</f>
        <v>5200</v>
      </c>
      <c r="G745" s="161"/>
      <c r="H745" s="161">
        <f>SUM(H747:H749)</f>
        <v>5200</v>
      </c>
      <c r="I745" s="161">
        <f>SUM(I747:I749)</f>
        <v>7200</v>
      </c>
      <c r="J745" s="106">
        <f>I745/H745</f>
        <v>1.3846153846153846</v>
      </c>
      <c r="K745" s="133">
        <f t="shared" si="52"/>
        <v>0.00021768297890173576</v>
      </c>
    </row>
    <row r="746" spans="1:11" ht="12.75">
      <c r="A746" s="189">
        <f t="shared" si="53"/>
        <v>659</v>
      </c>
      <c r="B746" s="4"/>
      <c r="C746" s="84" t="s">
        <v>16</v>
      </c>
      <c r="D746" s="26"/>
      <c r="E746" s="48"/>
      <c r="F746" s="161"/>
      <c r="G746" s="161"/>
      <c r="H746" s="161"/>
      <c r="I746" s="161"/>
      <c r="J746" s="106"/>
      <c r="K746" s="133"/>
    </row>
    <row r="747" spans="1:11" ht="12.75">
      <c r="A747" s="189">
        <f t="shared" si="53"/>
        <v>660</v>
      </c>
      <c r="B747" s="4"/>
      <c r="C747" s="84" t="s">
        <v>175</v>
      </c>
      <c r="D747" s="26"/>
      <c r="E747" s="48"/>
      <c r="F747" s="161">
        <v>4000</v>
      </c>
      <c r="G747" s="161"/>
      <c r="H747" s="161">
        <v>4000</v>
      </c>
      <c r="I747" s="161">
        <v>4000</v>
      </c>
      <c r="J747" s="106">
        <f>I747/H747</f>
        <v>1</v>
      </c>
      <c r="K747" s="133">
        <f>I747/I$54</f>
        <v>0.00012093498827874209</v>
      </c>
    </row>
    <row r="748" spans="1:11" ht="12.75">
      <c r="A748" s="189">
        <f t="shared" si="53"/>
        <v>661</v>
      </c>
      <c r="B748" s="4"/>
      <c r="C748" s="84" t="s">
        <v>176</v>
      </c>
      <c r="D748" s="26"/>
      <c r="E748" s="48"/>
      <c r="F748" s="161">
        <v>700</v>
      </c>
      <c r="G748" s="161"/>
      <c r="H748" s="161">
        <v>700</v>
      </c>
      <c r="I748" s="161">
        <v>700</v>
      </c>
      <c r="J748" s="106">
        <f>I748/H748</f>
        <v>1</v>
      </c>
      <c r="K748" s="133">
        <f t="shared" si="52"/>
        <v>2.1163622948779865E-05</v>
      </c>
    </row>
    <row r="749" spans="1:11" ht="12.75">
      <c r="A749" s="189">
        <f t="shared" si="53"/>
        <v>662</v>
      </c>
      <c r="B749" s="4"/>
      <c r="C749" s="84" t="s">
        <v>52</v>
      </c>
      <c r="D749" s="26"/>
      <c r="E749" s="48"/>
      <c r="F749" s="161">
        <f>2500-2000</f>
        <v>500</v>
      </c>
      <c r="G749" s="161"/>
      <c r="H749" s="161">
        <v>500</v>
      </c>
      <c r="I749" s="161">
        <v>2500</v>
      </c>
      <c r="J749" s="106">
        <f>I749/H749</f>
        <v>5</v>
      </c>
      <c r="K749" s="133">
        <f>I749/I$54</f>
        <v>7.55843676742138E-05</v>
      </c>
    </row>
    <row r="750" spans="1:11" s="75" customFormat="1" ht="12.75">
      <c r="A750" s="189">
        <f t="shared" si="53"/>
        <v>663</v>
      </c>
      <c r="B750" s="64">
        <v>80195</v>
      </c>
      <c r="C750" s="70" t="s">
        <v>28</v>
      </c>
      <c r="D750" s="65"/>
      <c r="E750" s="66" t="e">
        <f>E756++#REF!+E758+E767</f>
        <v>#REF!</v>
      </c>
      <c r="F750" s="65">
        <f>F751+F755+F756+F759+F766+F767</f>
        <v>832918</v>
      </c>
      <c r="G750" s="65" t="e">
        <f>G751+G755+G756+#REF!+#REF!+#REF!+G759+G767</f>
        <v>#REF!</v>
      </c>
      <c r="H750" s="65">
        <f>H751+H755+H756+H759+H766+H767</f>
        <v>822329.46</v>
      </c>
      <c r="I750" s="65">
        <f>I751+I755+I756+I759+I766+I767</f>
        <v>885260</v>
      </c>
      <c r="J750" s="217">
        <f>I750/H750</f>
        <v>1.0765271622398158</v>
      </c>
      <c r="K750" s="139">
        <f t="shared" si="52"/>
        <v>0.026764726930909807</v>
      </c>
    </row>
    <row r="751" spans="1:11" s="62" customFormat="1" ht="12.75">
      <c r="A751" s="189">
        <f t="shared" si="53"/>
        <v>664</v>
      </c>
      <c r="B751" s="90">
        <v>4010</v>
      </c>
      <c r="C751" s="84" t="s">
        <v>215</v>
      </c>
      <c r="D751" s="89"/>
      <c r="E751" s="88"/>
      <c r="F751" s="170">
        <f>SUM(F753:F754)</f>
        <v>4600</v>
      </c>
      <c r="G751" s="170">
        <v>3500</v>
      </c>
      <c r="H751" s="170">
        <f>SUM(H753:H754)</f>
        <v>4600</v>
      </c>
      <c r="I751" s="170">
        <f>SUM(I753:I754)</f>
        <v>10600</v>
      </c>
      <c r="J751" s="106"/>
      <c r="K751" s="133">
        <f t="shared" si="52"/>
        <v>0.0003204777189386665</v>
      </c>
    </row>
    <row r="752" spans="1:11" s="62" customFormat="1" ht="12.75">
      <c r="A752" s="189">
        <f t="shared" si="53"/>
        <v>665</v>
      </c>
      <c r="B752" s="90"/>
      <c r="C752" s="84" t="s">
        <v>16</v>
      </c>
      <c r="D752" s="89"/>
      <c r="E752" s="88"/>
      <c r="F752" s="170"/>
      <c r="G752" s="170"/>
      <c r="H752" s="170"/>
      <c r="I752" s="170"/>
      <c r="J752" s="106"/>
      <c r="K752" s="133"/>
    </row>
    <row r="753" spans="1:11" s="62" customFormat="1" ht="12.75">
      <c r="A753" s="189">
        <f t="shared" si="53"/>
        <v>666</v>
      </c>
      <c r="B753" s="90"/>
      <c r="C753" s="84" t="s">
        <v>502</v>
      </c>
      <c r="D753" s="89"/>
      <c r="E753" s="88"/>
      <c r="F753" s="170">
        <v>4600</v>
      </c>
      <c r="G753" s="170"/>
      <c r="H753" s="170">
        <v>4600</v>
      </c>
      <c r="I753" s="170">
        <f>4600+1000</f>
        <v>5600</v>
      </c>
      <c r="J753" s="106">
        <f>I753/H753</f>
        <v>1.2173913043478262</v>
      </c>
      <c r="K753" s="133">
        <f>I753/I$54</f>
        <v>0.00016930898359023892</v>
      </c>
    </row>
    <row r="754" spans="1:11" s="62" customFormat="1" ht="12.75">
      <c r="A754" s="189">
        <f t="shared" si="53"/>
        <v>667</v>
      </c>
      <c r="B754" s="90"/>
      <c r="C754" s="84" t="s">
        <v>503</v>
      </c>
      <c r="D754" s="89"/>
      <c r="E754" s="88"/>
      <c r="F754" s="170">
        <v>0</v>
      </c>
      <c r="G754" s="170"/>
      <c r="H754" s="170">
        <v>0</v>
      </c>
      <c r="I754" s="170">
        <v>5000</v>
      </c>
      <c r="J754" s="106"/>
      <c r="K754" s="133">
        <f>I754/I$54</f>
        <v>0.0001511687353484276</v>
      </c>
    </row>
    <row r="755" spans="1:11" s="62" customFormat="1" ht="12.75">
      <c r="A755" s="189">
        <f t="shared" si="53"/>
        <v>668</v>
      </c>
      <c r="B755" s="90">
        <v>4170</v>
      </c>
      <c r="C755" s="84" t="s">
        <v>300</v>
      </c>
      <c r="D755" s="89"/>
      <c r="E755" s="88"/>
      <c r="F755" s="170">
        <f>2700+400</f>
        <v>3100</v>
      </c>
      <c r="G755" s="170"/>
      <c r="H755" s="170">
        <v>2700</v>
      </c>
      <c r="I755" s="170">
        <v>1200</v>
      </c>
      <c r="J755" s="106">
        <f>I755/H755</f>
        <v>0.4444444444444444</v>
      </c>
      <c r="K755" s="133">
        <f>I755/I$54</f>
        <v>3.6280496483622625E-05</v>
      </c>
    </row>
    <row r="756" spans="1:11" ht="12.75">
      <c r="A756" s="189">
        <f t="shared" si="53"/>
        <v>669</v>
      </c>
      <c r="B756" s="4">
        <v>4210</v>
      </c>
      <c r="C756" s="84" t="s">
        <v>172</v>
      </c>
      <c r="D756" s="26"/>
      <c r="E756" s="48">
        <v>2600</v>
      </c>
      <c r="F756" s="161">
        <v>1000</v>
      </c>
      <c r="G756" s="161">
        <f>H756-F756</f>
        <v>-98.36000000000001</v>
      </c>
      <c r="H756" s="161">
        <v>901.64</v>
      </c>
      <c r="I756" s="161">
        <v>1000</v>
      </c>
      <c r="J756" s="106">
        <f>I756/H756</f>
        <v>1.1090901024799256</v>
      </c>
      <c r="K756" s="133">
        <f t="shared" si="52"/>
        <v>3.0233747069685523E-05</v>
      </c>
    </row>
    <row r="757" spans="1:11" ht="12.75">
      <c r="A757" s="189"/>
      <c r="B757" s="4"/>
      <c r="C757" s="84"/>
      <c r="D757" s="26"/>
      <c r="E757" s="48"/>
      <c r="F757" s="161"/>
      <c r="G757" s="161"/>
      <c r="H757" s="161"/>
      <c r="I757" s="161"/>
      <c r="J757" s="106"/>
      <c r="K757" s="133"/>
    </row>
    <row r="758" spans="1:11" ht="12.75">
      <c r="A758" s="189">
        <f>A756+1</f>
        <v>670</v>
      </c>
      <c r="B758" s="4">
        <v>4440</v>
      </c>
      <c r="C758" s="84" t="s">
        <v>50</v>
      </c>
      <c r="D758" s="26"/>
      <c r="E758" s="48">
        <v>0</v>
      </c>
      <c r="F758" s="161"/>
      <c r="G758" s="161">
        <f>H758-F758</f>
        <v>0</v>
      </c>
      <c r="H758" s="161"/>
      <c r="I758" s="161"/>
      <c r="J758" s="106"/>
      <c r="K758" s="133"/>
    </row>
    <row r="759" spans="1:11" ht="12.75">
      <c r="A759" s="189">
        <f t="shared" si="53"/>
        <v>671</v>
      </c>
      <c r="B759" s="4"/>
      <c r="C759" s="84" t="s">
        <v>328</v>
      </c>
      <c r="D759" s="26"/>
      <c r="E759" s="48"/>
      <c r="F759" s="161">
        <f>SUM(F761:F764)</f>
        <v>35530</v>
      </c>
      <c r="G759" s="161"/>
      <c r="H759" s="161">
        <f>SUM(H761:H764)</f>
        <v>35530</v>
      </c>
      <c r="I759" s="161">
        <f>SUM(I761:I764)</f>
        <v>39460</v>
      </c>
      <c r="J759" s="106">
        <f aca="true" t="shared" si="55" ref="J759:J767">I759/H759</f>
        <v>1.1106107514776244</v>
      </c>
      <c r="K759" s="133">
        <f aca="true" t="shared" si="56" ref="K759:K767">I759/I$54</f>
        <v>0.0011930236593697906</v>
      </c>
    </row>
    <row r="760" spans="1:11" ht="12.75">
      <c r="A760" s="189">
        <f t="shared" si="53"/>
        <v>672</v>
      </c>
      <c r="B760" s="4"/>
      <c r="C760" s="84" t="s">
        <v>16</v>
      </c>
      <c r="D760" s="26"/>
      <c r="E760" s="48"/>
      <c r="F760" s="161"/>
      <c r="G760" s="161"/>
      <c r="H760" s="161"/>
      <c r="I760" s="161"/>
      <c r="J760" s="106"/>
      <c r="K760" s="133"/>
    </row>
    <row r="761" spans="1:11" ht="12.75">
      <c r="A761" s="189">
        <f aca="true" t="shared" si="57" ref="A761:A832">A760+1</f>
        <v>673</v>
      </c>
      <c r="B761" s="4"/>
      <c r="C761" s="84" t="s">
        <v>175</v>
      </c>
      <c r="D761" s="26"/>
      <c r="E761" s="48"/>
      <c r="F761" s="161">
        <v>11040</v>
      </c>
      <c r="G761" s="161"/>
      <c r="H761" s="161">
        <v>11040</v>
      </c>
      <c r="I761" s="161">
        <v>11970</v>
      </c>
      <c r="J761" s="106">
        <f t="shared" si="55"/>
        <v>1.0842391304347827</v>
      </c>
      <c r="K761" s="133">
        <f t="shared" si="56"/>
        <v>0.00036189795242413573</v>
      </c>
    </row>
    <row r="762" spans="1:11" ht="12.75">
      <c r="A762" s="189">
        <f t="shared" si="57"/>
        <v>674</v>
      </c>
      <c r="B762" s="4"/>
      <c r="C762" s="84" t="s">
        <v>176</v>
      </c>
      <c r="D762" s="26"/>
      <c r="E762" s="48"/>
      <c r="F762" s="161">
        <v>1990</v>
      </c>
      <c r="G762" s="161"/>
      <c r="H762" s="161">
        <v>1990</v>
      </c>
      <c r="I762" s="161">
        <v>1990</v>
      </c>
      <c r="J762" s="106">
        <f t="shared" si="55"/>
        <v>1</v>
      </c>
      <c r="K762" s="133">
        <f t="shared" si="56"/>
        <v>6.016515666867419E-05</v>
      </c>
    </row>
    <row r="763" spans="1:11" ht="12.75">
      <c r="A763" s="189">
        <f t="shared" si="57"/>
        <v>675</v>
      </c>
      <c r="B763" s="4"/>
      <c r="C763" s="84" t="s">
        <v>52</v>
      </c>
      <c r="D763" s="26"/>
      <c r="E763" s="48"/>
      <c r="F763" s="161">
        <v>16500</v>
      </c>
      <c r="G763" s="161"/>
      <c r="H763" s="161">
        <v>16500</v>
      </c>
      <c r="I763" s="161">
        <v>19500</v>
      </c>
      <c r="J763" s="106">
        <f t="shared" si="55"/>
        <v>1.1818181818181819</v>
      </c>
      <c r="K763" s="133">
        <f t="shared" si="56"/>
        <v>0.0005895580678588677</v>
      </c>
    </row>
    <row r="764" spans="1:11" ht="12.75">
      <c r="A764" s="189">
        <f t="shared" si="57"/>
        <v>676</v>
      </c>
      <c r="B764" s="4"/>
      <c r="C764" s="84" t="s">
        <v>224</v>
      </c>
      <c r="D764" s="26"/>
      <c r="E764" s="48"/>
      <c r="F764" s="161">
        <v>6000</v>
      </c>
      <c r="G764" s="161"/>
      <c r="H764" s="161">
        <v>6000</v>
      </c>
      <c r="I764" s="161">
        <v>6000</v>
      </c>
      <c r="J764" s="106">
        <f t="shared" si="55"/>
        <v>1</v>
      </c>
      <c r="K764" s="133">
        <f t="shared" si="56"/>
        <v>0.00018140248241811313</v>
      </c>
    </row>
    <row r="765" spans="1:11" ht="12.75">
      <c r="A765" s="189">
        <f t="shared" si="57"/>
        <v>677</v>
      </c>
      <c r="B765" s="4">
        <v>4600</v>
      </c>
      <c r="C765" s="84" t="s">
        <v>337</v>
      </c>
      <c r="D765" s="26"/>
      <c r="E765" s="48"/>
      <c r="F765" s="161"/>
      <c r="G765" s="161"/>
      <c r="H765" s="161"/>
      <c r="I765" s="161"/>
      <c r="J765" s="106"/>
      <c r="K765" s="133"/>
    </row>
    <row r="766" spans="1:11" ht="12.75">
      <c r="A766" s="189">
        <f t="shared" si="57"/>
        <v>678</v>
      </c>
      <c r="B766" s="4"/>
      <c r="C766" s="84" t="s">
        <v>338</v>
      </c>
      <c r="D766" s="26"/>
      <c r="E766" s="48"/>
      <c r="F766" s="161">
        <v>3688</v>
      </c>
      <c r="G766" s="161"/>
      <c r="H766" s="161">
        <v>3687.59</v>
      </c>
      <c r="I766" s="161">
        <v>0</v>
      </c>
      <c r="J766" s="106"/>
      <c r="K766" s="133">
        <f t="shared" si="56"/>
        <v>0</v>
      </c>
    </row>
    <row r="767" spans="1:11" ht="12.75">
      <c r="A767" s="189">
        <f t="shared" si="57"/>
        <v>679</v>
      </c>
      <c r="B767" s="4">
        <v>6050</v>
      </c>
      <c r="C767" s="84" t="s">
        <v>159</v>
      </c>
      <c r="D767" s="26"/>
      <c r="E767" s="47">
        <f>SUM(E770:E770)</f>
        <v>90000</v>
      </c>
      <c r="F767" s="29">
        <f>SUM(F770:F779)</f>
        <v>785000</v>
      </c>
      <c r="G767" s="29">
        <f>SUM(G770:G779)</f>
        <v>0</v>
      </c>
      <c r="H767" s="29">
        <f>SUM(H770:H779)</f>
        <v>774910.23</v>
      </c>
      <c r="I767" s="29">
        <f>SUM(I770:I779)</f>
        <v>833000</v>
      </c>
      <c r="J767" s="106">
        <f t="shared" si="55"/>
        <v>1.0749632250951184</v>
      </c>
      <c r="K767" s="133">
        <f t="shared" si="56"/>
        <v>0.02518471130904804</v>
      </c>
    </row>
    <row r="768" spans="1:11" ht="12.75">
      <c r="A768" s="189">
        <f t="shared" si="57"/>
        <v>680</v>
      </c>
      <c r="B768" s="4"/>
      <c r="C768" s="84" t="s">
        <v>16</v>
      </c>
      <c r="D768" s="26"/>
      <c r="E768" s="48"/>
      <c r="F768" s="161"/>
      <c r="G768" s="161"/>
      <c r="H768" s="161"/>
      <c r="I768" s="161"/>
      <c r="J768" s="106"/>
      <c r="K768" s="133"/>
    </row>
    <row r="769" spans="1:11" ht="12.75">
      <c r="A769" s="189">
        <f t="shared" si="57"/>
        <v>681</v>
      </c>
      <c r="B769" s="4"/>
      <c r="C769" s="84" t="s">
        <v>473</v>
      </c>
      <c r="D769" s="26"/>
      <c r="E769" s="48"/>
      <c r="F769" s="161"/>
      <c r="G769" s="161"/>
      <c r="H769" s="161"/>
      <c r="I769" s="161"/>
      <c r="J769" s="106"/>
      <c r="K769" s="133"/>
    </row>
    <row r="770" spans="1:11" ht="12.75">
      <c r="A770" s="189">
        <f t="shared" si="57"/>
        <v>682</v>
      </c>
      <c r="B770" s="4"/>
      <c r="C770" s="84" t="s">
        <v>329</v>
      </c>
      <c r="D770" s="26"/>
      <c r="E770" s="48">
        <v>90000</v>
      </c>
      <c r="F770" s="161">
        <v>350000</v>
      </c>
      <c r="G770" s="161">
        <f>H770-F770</f>
        <v>0</v>
      </c>
      <c r="H770" s="161">
        <v>350000</v>
      </c>
      <c r="I770" s="161">
        <v>0</v>
      </c>
      <c r="J770" s="106"/>
      <c r="K770" s="133">
        <f>I770/I$54</f>
        <v>0</v>
      </c>
    </row>
    <row r="771" spans="1:11" ht="12.75">
      <c r="A771" s="189">
        <f t="shared" si="57"/>
        <v>683</v>
      </c>
      <c r="B771" s="4"/>
      <c r="C771" s="84" t="s">
        <v>311</v>
      </c>
      <c r="D771" s="26"/>
      <c r="E771" s="48"/>
      <c r="F771" s="161">
        <v>374000</v>
      </c>
      <c r="G771" s="161"/>
      <c r="H771" s="161">
        <v>363910.23</v>
      </c>
      <c r="I771" s="161">
        <v>0</v>
      </c>
      <c r="J771" s="106"/>
      <c r="K771" s="133">
        <f>I771/I$54</f>
        <v>0</v>
      </c>
    </row>
    <row r="772" spans="1:11" ht="12.75">
      <c r="A772" s="189">
        <f t="shared" si="57"/>
        <v>684</v>
      </c>
      <c r="B772" s="4"/>
      <c r="C772" s="84" t="s">
        <v>400</v>
      </c>
      <c r="D772" s="26"/>
      <c r="E772" s="48"/>
      <c r="F772" s="161">
        <v>61000</v>
      </c>
      <c r="G772" s="161"/>
      <c r="H772" s="161">
        <v>61000</v>
      </c>
      <c r="I772" s="161">
        <v>0</v>
      </c>
      <c r="J772" s="106"/>
      <c r="K772" s="133">
        <f aca="true" t="shared" si="58" ref="K772:K785">I772/I$54</f>
        <v>0</v>
      </c>
    </row>
    <row r="773" spans="1:11" ht="12.75">
      <c r="A773" s="189">
        <f t="shared" si="57"/>
        <v>685</v>
      </c>
      <c r="B773" s="4"/>
      <c r="C773" s="84" t="s">
        <v>539</v>
      </c>
      <c r="D773" s="26"/>
      <c r="E773" s="48"/>
      <c r="F773" s="161">
        <v>0</v>
      </c>
      <c r="G773" s="161"/>
      <c r="H773" s="161">
        <v>0</v>
      </c>
      <c r="I773" s="161">
        <v>40000</v>
      </c>
      <c r="J773" s="106"/>
      <c r="K773" s="133">
        <f t="shared" si="58"/>
        <v>0.0012093498827874208</v>
      </c>
    </row>
    <row r="774" spans="1:11" ht="12.75">
      <c r="A774" s="189">
        <f t="shared" si="57"/>
        <v>686</v>
      </c>
      <c r="B774" s="4"/>
      <c r="C774" s="84" t="s">
        <v>559</v>
      </c>
      <c r="D774" s="26"/>
      <c r="E774" s="48"/>
      <c r="F774" s="161">
        <v>0</v>
      </c>
      <c r="G774" s="161"/>
      <c r="H774" s="161">
        <v>0</v>
      </c>
      <c r="I774" s="161">
        <v>50000</v>
      </c>
      <c r="J774" s="106"/>
      <c r="K774" s="133">
        <f t="shared" si="58"/>
        <v>0.0015116873534842762</v>
      </c>
    </row>
    <row r="775" spans="1:11" ht="12.75">
      <c r="A775" s="189">
        <f t="shared" si="57"/>
        <v>687</v>
      </c>
      <c r="B775" s="4"/>
      <c r="C775" s="84" t="s">
        <v>625</v>
      </c>
      <c r="D775" s="26"/>
      <c r="E775" s="48"/>
      <c r="F775" s="161">
        <v>0</v>
      </c>
      <c r="G775" s="161"/>
      <c r="H775" s="161">
        <v>0</v>
      </c>
      <c r="I775" s="161">
        <f>100000-20000</f>
        <v>80000</v>
      </c>
      <c r="J775" s="106"/>
      <c r="K775" s="133">
        <f t="shared" si="58"/>
        <v>0.0024186997655748417</v>
      </c>
    </row>
    <row r="776" spans="1:11" ht="12.75">
      <c r="A776" s="189">
        <f t="shared" si="57"/>
        <v>688</v>
      </c>
      <c r="B776" s="4"/>
      <c r="C776" s="84" t="s">
        <v>540</v>
      </c>
      <c r="D776" s="26"/>
      <c r="E776" s="48"/>
      <c r="F776" s="161">
        <v>0</v>
      </c>
      <c r="G776" s="161"/>
      <c r="H776" s="161">
        <v>0</v>
      </c>
      <c r="I776" s="161">
        <v>100000</v>
      </c>
      <c r="J776" s="106"/>
      <c r="K776" s="133">
        <f t="shared" si="58"/>
        <v>0.0030233747069685524</v>
      </c>
    </row>
    <row r="777" spans="1:11" ht="12.75">
      <c r="A777" s="189">
        <f t="shared" si="57"/>
        <v>689</v>
      </c>
      <c r="B777" s="4"/>
      <c r="C777" s="84" t="s">
        <v>541</v>
      </c>
      <c r="D777" s="26"/>
      <c r="E777" s="48"/>
      <c r="F777" s="161"/>
      <c r="G777" s="161"/>
      <c r="H777" s="161"/>
      <c r="I777" s="161"/>
      <c r="J777" s="106"/>
      <c r="K777" s="133">
        <f t="shared" si="58"/>
        <v>0</v>
      </c>
    </row>
    <row r="778" spans="1:11" ht="12.75">
      <c r="A778" s="189">
        <f t="shared" si="57"/>
        <v>690</v>
      </c>
      <c r="B778" s="4"/>
      <c r="C778" s="84" t="s">
        <v>542</v>
      </c>
      <c r="D778" s="26"/>
      <c r="E778" s="48"/>
      <c r="F778" s="161">
        <v>0</v>
      </c>
      <c r="G778" s="161"/>
      <c r="H778" s="161">
        <v>0</v>
      </c>
      <c r="I778" s="161">
        <v>409000</v>
      </c>
      <c r="J778" s="106"/>
      <c r="K778" s="133">
        <f t="shared" si="58"/>
        <v>0.012365602551501379</v>
      </c>
    </row>
    <row r="779" spans="1:11" ht="12.75">
      <c r="A779" s="189">
        <f t="shared" si="57"/>
        <v>691</v>
      </c>
      <c r="B779" s="4"/>
      <c r="C779" s="84" t="s">
        <v>543</v>
      </c>
      <c r="D779" s="26"/>
      <c r="E779" s="48"/>
      <c r="F779" s="161">
        <v>0</v>
      </c>
      <c r="G779" s="161"/>
      <c r="H779" s="161">
        <v>0</v>
      </c>
      <c r="I779" s="161">
        <v>154000</v>
      </c>
      <c r="J779" s="106"/>
      <c r="K779" s="133">
        <f t="shared" si="58"/>
        <v>0.00465599704873157</v>
      </c>
    </row>
    <row r="780" spans="1:11" ht="12.75">
      <c r="A780" s="189"/>
      <c r="B780" s="4"/>
      <c r="C780" s="84"/>
      <c r="D780" s="26"/>
      <c r="E780" s="48"/>
      <c r="F780" s="161"/>
      <c r="G780" s="161"/>
      <c r="H780" s="161"/>
      <c r="I780" s="161"/>
      <c r="J780" s="106"/>
      <c r="K780" s="133"/>
    </row>
    <row r="781" spans="1:11" s="72" customFormat="1" ht="12.75">
      <c r="A781" s="189">
        <f>A779+1</f>
        <v>692</v>
      </c>
      <c r="B781" s="58">
        <v>851</v>
      </c>
      <c r="C781" s="83" t="s">
        <v>10</v>
      </c>
      <c r="D781" s="60"/>
      <c r="E781" s="61" t="e">
        <f>#REF!+E785</f>
        <v>#REF!</v>
      </c>
      <c r="F781" s="60">
        <f>F782+F785</f>
        <v>357430</v>
      </c>
      <c r="G781" s="60" t="e">
        <f>#REF!+G785+#REF!</f>
        <v>#REF!</v>
      </c>
      <c r="H781" s="60">
        <f>H782+H785</f>
        <v>357217.13999999996</v>
      </c>
      <c r="I781" s="60">
        <f>I782+I785</f>
        <v>320000</v>
      </c>
      <c r="J781" s="213">
        <f>I781/H781</f>
        <v>0.8958136779215019</v>
      </c>
      <c r="K781" s="136">
        <f t="shared" si="58"/>
        <v>0.009674799062299367</v>
      </c>
    </row>
    <row r="782" spans="1:11" s="75" customFormat="1" ht="12.75">
      <c r="A782" s="189">
        <f t="shared" si="57"/>
        <v>693</v>
      </c>
      <c r="B782" s="64">
        <v>85153</v>
      </c>
      <c r="C782" s="70" t="s">
        <v>386</v>
      </c>
      <c r="D782" s="65"/>
      <c r="E782" s="66"/>
      <c r="F782" s="65">
        <f>SUM(F783:F784)</f>
        <v>20000</v>
      </c>
      <c r="G782" s="65"/>
      <c r="H782" s="65">
        <f>SUM(H783:H784)</f>
        <v>20000</v>
      </c>
      <c r="I782" s="65">
        <f>SUM(I783:I784)</f>
        <v>20000</v>
      </c>
      <c r="J782" s="213">
        <f>I782/H782</f>
        <v>1</v>
      </c>
      <c r="K782" s="136">
        <f>I782/I$54</f>
        <v>0.0006046749413937104</v>
      </c>
    </row>
    <row r="783" spans="1:11" s="72" customFormat="1" ht="12.75">
      <c r="A783" s="189">
        <f t="shared" si="57"/>
        <v>694</v>
      </c>
      <c r="B783" s="14">
        <v>4210</v>
      </c>
      <c r="C783" s="126" t="s">
        <v>162</v>
      </c>
      <c r="D783" s="60"/>
      <c r="E783" s="61"/>
      <c r="F783" s="89">
        <v>8000</v>
      </c>
      <c r="G783" s="89"/>
      <c r="H783" s="89">
        <v>8000</v>
      </c>
      <c r="I783" s="89">
        <v>8000</v>
      </c>
      <c r="J783" s="106">
        <f>I783/H783</f>
        <v>1</v>
      </c>
      <c r="K783" s="133">
        <f t="shared" si="58"/>
        <v>0.00024186997655748418</v>
      </c>
    </row>
    <row r="784" spans="1:11" s="72" customFormat="1" ht="12.75">
      <c r="A784" s="189">
        <f t="shared" si="57"/>
        <v>695</v>
      </c>
      <c r="B784" s="14">
        <v>4300</v>
      </c>
      <c r="C784" s="126" t="s">
        <v>160</v>
      </c>
      <c r="D784" s="60"/>
      <c r="E784" s="61"/>
      <c r="F784" s="89">
        <v>12000</v>
      </c>
      <c r="G784" s="89"/>
      <c r="H784" s="89">
        <v>12000</v>
      </c>
      <c r="I784" s="89">
        <v>12000</v>
      </c>
      <c r="J784" s="106">
        <f>I784/H784</f>
        <v>1</v>
      </c>
      <c r="K784" s="133">
        <f t="shared" si="58"/>
        <v>0.00036280496483622626</v>
      </c>
    </row>
    <row r="785" spans="1:11" s="75" customFormat="1" ht="15" customHeight="1">
      <c r="A785" s="189">
        <f t="shared" si="57"/>
        <v>696</v>
      </c>
      <c r="B785" s="64">
        <v>85154</v>
      </c>
      <c r="C785" s="70" t="s">
        <v>55</v>
      </c>
      <c r="D785" s="65"/>
      <c r="E785" s="66" t="e">
        <f>E786+#REF!+E790+E791+E796+E797+E799+#REF!+#REF!+E816</f>
        <v>#REF!</v>
      </c>
      <c r="F785" s="65">
        <f>F787+F790+F791+F792+F796+F797+F798+F799+F807+F809+F810+F811+F812+F817</f>
        <v>337430</v>
      </c>
      <c r="G785" s="65" t="e">
        <f>G786+#REF!+G790+G791+G792+G796+G797+G798+G799+#REF!+G811+#REF!+G817</f>
        <v>#REF!</v>
      </c>
      <c r="H785" s="65">
        <f>H787+H790+H791+H792+H796+H797+H798+H799+H807+H809+H810+H811+H812+H817</f>
        <v>337217.13999999996</v>
      </c>
      <c r="I785" s="65">
        <f>I787+I790+I791+I792+I796+I797+I798+I799+I807+I809+I810+I811+I812+I817</f>
        <v>300000</v>
      </c>
      <c r="J785" s="217">
        <f>I785/H785</f>
        <v>0.8896344948539687</v>
      </c>
      <c r="K785" s="139">
        <f t="shared" si="58"/>
        <v>0.009070124120905658</v>
      </c>
    </row>
    <row r="786" spans="1:11" s="62" customFormat="1" ht="15" customHeight="1">
      <c r="A786" s="189">
        <f t="shared" si="57"/>
        <v>697</v>
      </c>
      <c r="B786" s="90">
        <v>2820</v>
      </c>
      <c r="C786" s="84" t="s">
        <v>261</v>
      </c>
      <c r="D786" s="89"/>
      <c r="E786" s="87">
        <f>SUM(E789:E789)</f>
        <v>88000</v>
      </c>
      <c r="F786" s="89"/>
      <c r="G786" s="89">
        <f>SUM(G789:G789)</f>
        <v>0</v>
      </c>
      <c r="H786" s="89"/>
      <c r="I786" s="89"/>
      <c r="J786" s="106"/>
      <c r="K786" s="133"/>
    </row>
    <row r="787" spans="1:11" s="62" customFormat="1" ht="15" customHeight="1">
      <c r="A787" s="189">
        <f t="shared" si="57"/>
        <v>698</v>
      </c>
      <c r="B787" s="90"/>
      <c r="C787" s="84" t="s">
        <v>262</v>
      </c>
      <c r="D787" s="89"/>
      <c r="E787" s="88"/>
      <c r="F787" s="170">
        <f>SUM(F789:F789)</f>
        <v>98000</v>
      </c>
      <c r="G787" s="170"/>
      <c r="H787" s="170">
        <f>SUM(H789:H789)</f>
        <v>98000</v>
      </c>
      <c r="I787" s="170">
        <f>SUM(I789:I789)</f>
        <v>80000</v>
      </c>
      <c r="J787" s="106">
        <f>I787/H787</f>
        <v>0.8163265306122449</v>
      </c>
      <c r="K787" s="133">
        <f>I787/I$54</f>
        <v>0.0024186997655748417</v>
      </c>
    </row>
    <row r="788" spans="1:11" s="62" customFormat="1" ht="15" customHeight="1">
      <c r="A788" s="189">
        <f t="shared" si="57"/>
        <v>699</v>
      </c>
      <c r="B788" s="90"/>
      <c r="C788" s="84" t="s">
        <v>16</v>
      </c>
      <c r="D788" s="89"/>
      <c r="E788" s="87"/>
      <c r="F788" s="170"/>
      <c r="G788" s="170"/>
      <c r="H788" s="170"/>
      <c r="I788" s="170"/>
      <c r="J788" s="106"/>
      <c r="K788" s="133"/>
    </row>
    <row r="789" spans="1:11" s="62" customFormat="1" ht="15" customHeight="1">
      <c r="A789" s="189">
        <f t="shared" si="57"/>
        <v>700</v>
      </c>
      <c r="B789" s="90"/>
      <c r="C789" s="112" t="s">
        <v>251</v>
      </c>
      <c r="D789" s="89"/>
      <c r="E789" s="88">
        <v>88000</v>
      </c>
      <c r="F789" s="170">
        <v>98000</v>
      </c>
      <c r="G789" s="170">
        <v>0</v>
      </c>
      <c r="H789" s="170">
        <v>98000</v>
      </c>
      <c r="I789" s="170">
        <v>80000</v>
      </c>
      <c r="J789" s="106">
        <f>I789/H789</f>
        <v>0.8163265306122449</v>
      </c>
      <c r="K789" s="133">
        <f aca="true" t="shared" si="59" ref="K789:K798">I789/I$54</f>
        <v>0.0024186997655748417</v>
      </c>
    </row>
    <row r="790" spans="1:11" ht="12.75">
      <c r="A790" s="189">
        <f t="shared" si="57"/>
        <v>701</v>
      </c>
      <c r="B790" s="6">
        <v>4110</v>
      </c>
      <c r="C790" s="84" t="s">
        <v>35</v>
      </c>
      <c r="D790" s="26"/>
      <c r="E790" s="48">
        <v>4000</v>
      </c>
      <c r="F790" s="170">
        <v>0</v>
      </c>
      <c r="G790" s="161">
        <v>-2800</v>
      </c>
      <c r="H790" s="170">
        <v>0</v>
      </c>
      <c r="I790" s="170">
        <v>0</v>
      </c>
      <c r="J790" s="106"/>
      <c r="K790" s="133">
        <f t="shared" si="59"/>
        <v>0</v>
      </c>
    </row>
    <row r="791" spans="1:11" ht="12.75">
      <c r="A791" s="189">
        <f t="shared" si="57"/>
        <v>702</v>
      </c>
      <c r="B791" s="6">
        <v>4120</v>
      </c>
      <c r="C791" s="84" t="s">
        <v>36</v>
      </c>
      <c r="D791" s="26"/>
      <c r="E791" s="48">
        <v>1000</v>
      </c>
      <c r="F791" s="170">
        <v>0</v>
      </c>
      <c r="G791" s="161">
        <v>-838</v>
      </c>
      <c r="H791" s="170">
        <v>0</v>
      </c>
      <c r="I791" s="170">
        <v>0</v>
      </c>
      <c r="J791" s="106"/>
      <c r="K791" s="133">
        <f t="shared" si="59"/>
        <v>0</v>
      </c>
    </row>
    <row r="792" spans="1:11" ht="12.75">
      <c r="A792" s="189">
        <f t="shared" si="57"/>
        <v>703</v>
      </c>
      <c r="B792" s="6">
        <v>4170</v>
      </c>
      <c r="C792" s="84" t="s">
        <v>288</v>
      </c>
      <c r="D792" s="26"/>
      <c r="E792" s="48"/>
      <c r="F792" s="170">
        <f>SUM(F794:F795)</f>
        <v>56100</v>
      </c>
      <c r="G792" s="161"/>
      <c r="H792" s="170">
        <f>SUM(H794:H795)</f>
        <v>56100</v>
      </c>
      <c r="I792" s="170">
        <f>SUM(I794:I795)</f>
        <v>60000</v>
      </c>
      <c r="J792" s="106">
        <f>I792/H792</f>
        <v>1.0695187165775402</v>
      </c>
      <c r="K792" s="133">
        <f>I792/I$54</f>
        <v>0.0018140248241811313</v>
      </c>
    </row>
    <row r="793" spans="1:11" ht="12.75">
      <c r="A793" s="189">
        <f t="shared" si="57"/>
        <v>704</v>
      </c>
      <c r="B793" s="6"/>
      <c r="C793" s="84" t="s">
        <v>16</v>
      </c>
      <c r="D793" s="26"/>
      <c r="E793" s="48"/>
      <c r="F793" s="170"/>
      <c r="G793" s="161"/>
      <c r="H793" s="170"/>
      <c r="I793" s="170"/>
      <c r="J793" s="106"/>
      <c r="K793" s="133"/>
    </row>
    <row r="794" spans="1:11" ht="12.75">
      <c r="A794" s="189">
        <f t="shared" si="57"/>
        <v>705</v>
      </c>
      <c r="B794" s="6"/>
      <c r="C794" s="84" t="s">
        <v>330</v>
      </c>
      <c r="D794" s="26"/>
      <c r="E794" s="48"/>
      <c r="F794" s="170">
        <v>13800</v>
      </c>
      <c r="G794" s="161"/>
      <c r="H794" s="170">
        <v>13800</v>
      </c>
      <c r="I794" s="170">
        <v>15000</v>
      </c>
      <c r="J794" s="106">
        <f>I794/H794</f>
        <v>1.0869565217391304</v>
      </c>
      <c r="K794" s="133">
        <f>I794/I$54</f>
        <v>0.00045350620604528284</v>
      </c>
    </row>
    <row r="795" spans="1:11" ht="12.75">
      <c r="A795" s="189">
        <f t="shared" si="57"/>
        <v>706</v>
      </c>
      <c r="B795" s="6"/>
      <c r="C795" s="84" t="s">
        <v>331</v>
      </c>
      <c r="D795" s="26"/>
      <c r="E795" s="48"/>
      <c r="F795" s="170">
        <v>42300</v>
      </c>
      <c r="G795" s="161"/>
      <c r="H795" s="170">
        <v>42300</v>
      </c>
      <c r="I795" s="170">
        <v>45000</v>
      </c>
      <c r="J795" s="106">
        <f>I795/H795</f>
        <v>1.0638297872340425</v>
      </c>
      <c r="K795" s="133">
        <f>I795/I$54</f>
        <v>0.0013605186181358485</v>
      </c>
    </row>
    <row r="796" spans="1:11" s="33" customFormat="1" ht="12.75">
      <c r="A796" s="189">
        <f t="shared" si="57"/>
        <v>707</v>
      </c>
      <c r="B796" s="14">
        <v>4210</v>
      </c>
      <c r="C796" s="126" t="s">
        <v>162</v>
      </c>
      <c r="D796" s="26"/>
      <c r="E796" s="48">
        <v>5000</v>
      </c>
      <c r="F796" s="170">
        <v>21500</v>
      </c>
      <c r="G796" s="161">
        <v>0</v>
      </c>
      <c r="H796" s="170">
        <v>21500</v>
      </c>
      <c r="I796" s="170">
        <v>12000</v>
      </c>
      <c r="J796" s="106">
        <f>I796/H796</f>
        <v>0.5581395348837209</v>
      </c>
      <c r="K796" s="133">
        <f t="shared" si="59"/>
        <v>0.00036280496483622626</v>
      </c>
    </row>
    <row r="797" spans="1:11" s="33" customFormat="1" ht="12.75">
      <c r="A797" s="189">
        <f t="shared" si="57"/>
        <v>708</v>
      </c>
      <c r="B797" s="14">
        <v>4260</v>
      </c>
      <c r="C797" s="126" t="s">
        <v>165</v>
      </c>
      <c r="D797" s="26"/>
      <c r="E797" s="48">
        <v>3000</v>
      </c>
      <c r="F797" s="170">
        <v>12000</v>
      </c>
      <c r="G797" s="161">
        <v>0</v>
      </c>
      <c r="H797" s="170">
        <v>12000</v>
      </c>
      <c r="I797" s="170">
        <v>12000</v>
      </c>
      <c r="J797" s="106">
        <f>I797/H797</f>
        <v>1</v>
      </c>
      <c r="K797" s="133">
        <f t="shared" si="59"/>
        <v>0.00036280496483622626</v>
      </c>
    </row>
    <row r="798" spans="1:11" s="33" customFormat="1" ht="12.75">
      <c r="A798" s="189">
        <f t="shared" si="57"/>
        <v>709</v>
      </c>
      <c r="B798" s="14">
        <v>4270</v>
      </c>
      <c r="C798" s="126" t="s">
        <v>161</v>
      </c>
      <c r="D798" s="26"/>
      <c r="E798" s="48"/>
      <c r="F798" s="170">
        <v>0</v>
      </c>
      <c r="G798" s="161"/>
      <c r="H798" s="170">
        <v>0</v>
      </c>
      <c r="I798" s="170">
        <v>0</v>
      </c>
      <c r="J798" s="106"/>
      <c r="K798" s="133">
        <f t="shared" si="59"/>
        <v>0</v>
      </c>
    </row>
    <row r="799" spans="1:11" s="33" customFormat="1" ht="12.75">
      <c r="A799" s="189">
        <f t="shared" si="57"/>
        <v>710</v>
      </c>
      <c r="B799" s="14">
        <v>4300</v>
      </c>
      <c r="C799" s="126" t="s">
        <v>160</v>
      </c>
      <c r="D799" s="26"/>
      <c r="E799" s="47">
        <f>SUM(E801:E805)</f>
        <v>129800</v>
      </c>
      <c r="F799" s="29">
        <f>SUM(F801:F805)</f>
        <v>123973</v>
      </c>
      <c r="G799" s="29">
        <f>SUM(G801:G805)</f>
        <v>-5780</v>
      </c>
      <c r="H799" s="29">
        <f>SUM(H801:H805)</f>
        <v>123973</v>
      </c>
      <c r="I799" s="29">
        <f>SUM(I801:I805)</f>
        <v>63000</v>
      </c>
      <c r="J799" s="106">
        <f>I799/H799</f>
        <v>0.5081751671734974</v>
      </c>
      <c r="K799" s="133">
        <f>I799/I$54</f>
        <v>0.0019047260653901879</v>
      </c>
    </row>
    <row r="800" spans="1:11" ht="12.75">
      <c r="A800" s="189">
        <f t="shared" si="57"/>
        <v>711</v>
      </c>
      <c r="B800" s="6"/>
      <c r="C800" s="84" t="s">
        <v>16</v>
      </c>
      <c r="D800" s="26"/>
      <c r="E800" s="48"/>
      <c r="F800" s="161"/>
      <c r="G800" s="161"/>
      <c r="H800" s="161"/>
      <c r="I800" s="161"/>
      <c r="J800" s="106"/>
      <c r="K800" s="133"/>
    </row>
    <row r="801" spans="1:11" ht="12.75">
      <c r="A801" s="189">
        <f t="shared" si="57"/>
        <v>712</v>
      </c>
      <c r="B801" s="6"/>
      <c r="C801" s="84" t="s">
        <v>56</v>
      </c>
      <c r="D801" s="26"/>
      <c r="E801" s="48">
        <v>5000</v>
      </c>
      <c r="F801" s="170">
        <v>3400</v>
      </c>
      <c r="G801" s="161">
        <v>-1940</v>
      </c>
      <c r="H801" s="170">
        <v>3400</v>
      </c>
      <c r="I801" s="170">
        <v>3000</v>
      </c>
      <c r="J801" s="106">
        <f>I801/H801</f>
        <v>0.8823529411764706</v>
      </c>
      <c r="K801" s="133">
        <f>I801/I$54</f>
        <v>9.070124120905656E-05</v>
      </c>
    </row>
    <row r="802" spans="1:11" ht="12.75">
      <c r="A802" s="189">
        <f t="shared" si="57"/>
        <v>713</v>
      </c>
      <c r="B802" s="6"/>
      <c r="C802" s="84" t="s">
        <v>57</v>
      </c>
      <c r="D802" s="26"/>
      <c r="E802" s="48">
        <v>9500</v>
      </c>
      <c r="F802" s="170">
        <v>20000</v>
      </c>
      <c r="G802" s="161">
        <v>-840</v>
      </c>
      <c r="H802" s="170">
        <v>20000</v>
      </c>
      <c r="I802" s="170">
        <v>0</v>
      </c>
      <c r="J802" s="106">
        <f>I802/H802</f>
        <v>0</v>
      </c>
      <c r="K802" s="133">
        <f>I802/I$54</f>
        <v>0</v>
      </c>
    </row>
    <row r="803" spans="1:11" ht="12.75">
      <c r="A803" s="189">
        <f t="shared" si="57"/>
        <v>714</v>
      </c>
      <c r="B803" s="6"/>
      <c r="C803" s="84" t="s">
        <v>58</v>
      </c>
      <c r="D803" s="26"/>
      <c r="E803" s="48">
        <v>15000</v>
      </c>
      <c r="F803" s="170">
        <v>50000</v>
      </c>
      <c r="G803" s="161">
        <v>-3000</v>
      </c>
      <c r="H803" s="170">
        <v>50000</v>
      </c>
      <c r="I803" s="170">
        <v>50000</v>
      </c>
      <c r="J803" s="106">
        <f>I803/H803</f>
        <v>1</v>
      </c>
      <c r="K803" s="133">
        <f>I803/I$54</f>
        <v>0.0015116873534842762</v>
      </c>
    </row>
    <row r="804" spans="1:11" ht="12.75">
      <c r="A804" s="189">
        <f t="shared" si="57"/>
        <v>715</v>
      </c>
      <c r="B804" s="6"/>
      <c r="C804" s="84" t="s">
        <v>20</v>
      </c>
      <c r="D804" s="26"/>
      <c r="E804" s="48">
        <v>100300</v>
      </c>
      <c r="F804" s="170">
        <v>47573</v>
      </c>
      <c r="G804" s="161">
        <v>0</v>
      </c>
      <c r="H804" s="170">
        <v>47573</v>
      </c>
      <c r="I804" s="170">
        <v>10000</v>
      </c>
      <c r="J804" s="106">
        <f>I804/H804</f>
        <v>0.21020326655876231</v>
      </c>
      <c r="K804" s="133">
        <f>I804/I$54</f>
        <v>0.0003023374706968552</v>
      </c>
    </row>
    <row r="805" spans="1:11" ht="12.75">
      <c r="A805" s="189">
        <f t="shared" si="57"/>
        <v>716</v>
      </c>
      <c r="B805" s="6"/>
      <c r="C805" s="84" t="s">
        <v>207</v>
      </c>
      <c r="D805" s="26"/>
      <c r="E805" s="48">
        <v>0</v>
      </c>
      <c r="F805" s="170">
        <v>3000</v>
      </c>
      <c r="G805" s="161">
        <v>0</v>
      </c>
      <c r="H805" s="170">
        <v>3000</v>
      </c>
      <c r="I805" s="170">
        <v>0</v>
      </c>
      <c r="J805" s="106">
        <f>I805/H805</f>
        <v>0</v>
      </c>
      <c r="K805" s="133">
        <f>I805/I$54</f>
        <v>0</v>
      </c>
    </row>
    <row r="806" spans="1:11" ht="12.75">
      <c r="A806" s="189">
        <f t="shared" si="57"/>
        <v>717</v>
      </c>
      <c r="B806" s="15">
        <v>4360</v>
      </c>
      <c r="C806" s="127" t="s">
        <v>474</v>
      </c>
      <c r="D806" s="26"/>
      <c r="E806" s="48"/>
      <c r="F806" s="170"/>
      <c r="G806" s="161"/>
      <c r="H806" s="170"/>
      <c r="I806" s="170"/>
      <c r="J806" s="106"/>
      <c r="K806" s="133"/>
    </row>
    <row r="807" spans="1:11" ht="12.75">
      <c r="A807" s="189">
        <f t="shared" si="57"/>
        <v>718</v>
      </c>
      <c r="B807" s="15"/>
      <c r="C807" s="127" t="s">
        <v>439</v>
      </c>
      <c r="D807" s="26"/>
      <c r="E807" s="48"/>
      <c r="F807" s="170">
        <v>0</v>
      </c>
      <c r="G807" s="161"/>
      <c r="H807" s="170">
        <v>0</v>
      </c>
      <c r="I807" s="170">
        <v>1500</v>
      </c>
      <c r="J807" s="106"/>
      <c r="K807" s="133">
        <f>I807/I$54</f>
        <v>4.535062060452828E-05</v>
      </c>
    </row>
    <row r="808" spans="1:11" ht="12.75">
      <c r="A808" s="189">
        <f t="shared" si="57"/>
        <v>719</v>
      </c>
      <c r="B808" s="15">
        <v>4370</v>
      </c>
      <c r="C808" s="127" t="s">
        <v>474</v>
      </c>
      <c r="D808" s="26"/>
      <c r="E808" s="48"/>
      <c r="F808" s="170"/>
      <c r="G808" s="161"/>
      <c r="H808" s="170"/>
      <c r="I808" s="170"/>
      <c r="J808" s="106"/>
      <c r="K808" s="133"/>
    </row>
    <row r="809" spans="1:11" ht="12.75">
      <c r="A809" s="189">
        <f t="shared" si="57"/>
        <v>720</v>
      </c>
      <c r="B809" s="15"/>
      <c r="C809" s="127" t="s">
        <v>440</v>
      </c>
      <c r="D809" s="26"/>
      <c r="E809" s="48"/>
      <c r="F809" s="170">
        <v>0</v>
      </c>
      <c r="G809" s="161"/>
      <c r="H809" s="170">
        <v>0</v>
      </c>
      <c r="I809" s="170">
        <v>1500</v>
      </c>
      <c r="J809" s="106"/>
      <c r="K809" s="133">
        <f>I809/I$54</f>
        <v>4.535062060452828E-05</v>
      </c>
    </row>
    <row r="810" spans="1:11" ht="12.75">
      <c r="A810" s="189">
        <f t="shared" si="57"/>
        <v>721</v>
      </c>
      <c r="B810" s="15">
        <v>4400</v>
      </c>
      <c r="C810" s="127" t="s">
        <v>515</v>
      </c>
      <c r="D810" s="26"/>
      <c r="E810" s="48"/>
      <c r="F810" s="170">
        <v>0</v>
      </c>
      <c r="G810" s="161"/>
      <c r="H810" s="170">
        <v>0</v>
      </c>
      <c r="I810" s="170">
        <v>20000</v>
      </c>
      <c r="J810" s="106"/>
      <c r="K810" s="133">
        <f>I810/I$54</f>
        <v>0.0006046749413937104</v>
      </c>
    </row>
    <row r="811" spans="1:11" ht="12.75">
      <c r="A811" s="189">
        <f t="shared" si="57"/>
        <v>722</v>
      </c>
      <c r="B811" s="6">
        <v>4590</v>
      </c>
      <c r="C811" s="84" t="s">
        <v>241</v>
      </c>
      <c r="D811" s="26"/>
      <c r="E811" s="48"/>
      <c r="F811" s="170">
        <v>2700</v>
      </c>
      <c r="G811" s="161"/>
      <c r="H811" s="170">
        <v>2630</v>
      </c>
      <c r="I811" s="170">
        <v>0</v>
      </c>
      <c r="J811" s="106"/>
      <c r="K811" s="133">
        <f>I811/I$54</f>
        <v>0</v>
      </c>
    </row>
    <row r="812" spans="1:11" ht="12.75">
      <c r="A812" s="189">
        <f t="shared" si="57"/>
        <v>723</v>
      </c>
      <c r="B812" s="6">
        <v>6050</v>
      </c>
      <c r="C812" s="84" t="s">
        <v>159</v>
      </c>
      <c r="D812" s="26"/>
      <c r="E812" s="48"/>
      <c r="F812" s="161">
        <f>SUM(F814:F815)</f>
        <v>13157</v>
      </c>
      <c r="G812" s="161"/>
      <c r="H812" s="161">
        <f>SUM(H814:H815)</f>
        <v>13156.54</v>
      </c>
      <c r="I812" s="161">
        <f>SUM(I814:I815)</f>
        <v>50000</v>
      </c>
      <c r="J812" s="106"/>
      <c r="K812" s="133">
        <f>I812/I$54</f>
        <v>0.0015116873534842762</v>
      </c>
    </row>
    <row r="813" spans="1:11" ht="12.75">
      <c r="A813" s="189">
        <f t="shared" si="57"/>
        <v>724</v>
      </c>
      <c r="B813" s="6"/>
      <c r="C813" s="84" t="s">
        <v>16</v>
      </c>
      <c r="D813" s="26"/>
      <c r="E813" s="48"/>
      <c r="F813" s="161"/>
      <c r="G813" s="161"/>
      <c r="H813" s="161"/>
      <c r="I813" s="161"/>
      <c r="J813" s="106"/>
      <c r="K813" s="133"/>
    </row>
    <row r="814" spans="1:11" ht="12.75">
      <c r="A814" s="189">
        <f t="shared" si="57"/>
        <v>725</v>
      </c>
      <c r="B814" s="6"/>
      <c r="C814" s="112" t="s">
        <v>626</v>
      </c>
      <c r="D814" s="26"/>
      <c r="E814" s="48"/>
      <c r="F814" s="161">
        <v>0</v>
      </c>
      <c r="G814" s="161"/>
      <c r="H814" s="161">
        <v>0</v>
      </c>
      <c r="I814" s="161">
        <v>50000</v>
      </c>
      <c r="J814" s="106"/>
      <c r="K814" s="133">
        <f>I814/I$54</f>
        <v>0.0015116873534842762</v>
      </c>
    </row>
    <row r="815" spans="1:11" ht="12.75">
      <c r="A815" s="189">
        <f t="shared" si="57"/>
        <v>726</v>
      </c>
      <c r="B815" s="6"/>
      <c r="C815" s="84" t="s">
        <v>332</v>
      </c>
      <c r="D815" s="26"/>
      <c r="E815" s="48"/>
      <c r="F815" s="161">
        <v>13157</v>
      </c>
      <c r="G815" s="161"/>
      <c r="H815" s="161">
        <v>13156.54</v>
      </c>
      <c r="I815" s="161">
        <v>0</v>
      </c>
      <c r="J815" s="106"/>
      <c r="K815" s="133">
        <f>I815/I$54</f>
        <v>0</v>
      </c>
    </row>
    <row r="816" spans="1:11" ht="12.75">
      <c r="A816" s="189">
        <f t="shared" si="57"/>
        <v>727</v>
      </c>
      <c r="B816" s="6">
        <v>6060</v>
      </c>
      <c r="C816" s="84" t="s">
        <v>208</v>
      </c>
      <c r="D816" s="26"/>
      <c r="E816" s="48">
        <v>0</v>
      </c>
      <c r="F816" s="170"/>
      <c r="G816" s="161">
        <v>-1100</v>
      </c>
      <c r="H816" s="170"/>
      <c r="I816" s="170"/>
      <c r="J816" s="106"/>
      <c r="K816" s="133"/>
    </row>
    <row r="817" spans="1:11" ht="12.75">
      <c r="A817" s="189">
        <f t="shared" si="57"/>
        <v>728</v>
      </c>
      <c r="B817" s="6"/>
      <c r="C817" s="84" t="s">
        <v>475</v>
      </c>
      <c r="D817" s="26"/>
      <c r="E817" s="48"/>
      <c r="F817" s="170">
        <v>10000</v>
      </c>
      <c r="G817" s="161"/>
      <c r="H817" s="170">
        <v>9857.6</v>
      </c>
      <c r="I817" s="170">
        <v>0</v>
      </c>
      <c r="J817" s="106"/>
      <c r="K817" s="133">
        <f>I817/I$54</f>
        <v>0</v>
      </c>
    </row>
    <row r="818" spans="1:11" ht="12.75">
      <c r="A818" s="189">
        <f>A817+1</f>
        <v>729</v>
      </c>
      <c r="B818" s="58">
        <v>852</v>
      </c>
      <c r="C818" s="83" t="s">
        <v>245</v>
      </c>
      <c r="D818" s="26"/>
      <c r="E818" s="48"/>
      <c r="F818" s="177">
        <f>F820+F857+F860+F873+F875+F905+F913</f>
        <v>3185885</v>
      </c>
      <c r="G818" s="177"/>
      <c r="H818" s="177">
        <f>H820+H857+H860+H873+H875+H905+H913</f>
        <v>3143421.82</v>
      </c>
      <c r="I818" s="177">
        <f>I820+I857+I860+I873+I875+I905+I913</f>
        <v>2960341</v>
      </c>
      <c r="J818" s="213">
        <f>I818/H818</f>
        <v>0.9417574762524236</v>
      </c>
      <c r="K818" s="136">
        <f>I818/I$54</f>
        <v>0.08950220103401992</v>
      </c>
    </row>
    <row r="819" spans="1:11" s="67" customFormat="1" ht="12.75">
      <c r="A819" s="189">
        <f t="shared" si="57"/>
        <v>730</v>
      </c>
      <c r="B819" s="64">
        <v>85212</v>
      </c>
      <c r="C819" s="70" t="s">
        <v>398</v>
      </c>
      <c r="D819" s="65"/>
      <c r="E819" s="143"/>
      <c r="F819" s="174"/>
      <c r="G819" s="174"/>
      <c r="H819" s="174"/>
      <c r="I819" s="174"/>
      <c r="J819" s="217"/>
      <c r="K819" s="140"/>
    </row>
    <row r="820" spans="1:11" s="67" customFormat="1" ht="12.75">
      <c r="A820" s="189">
        <f t="shared" si="57"/>
        <v>731</v>
      </c>
      <c r="B820" s="71"/>
      <c r="C820" s="70" t="s">
        <v>397</v>
      </c>
      <c r="D820" s="65"/>
      <c r="E820" s="143"/>
      <c r="F820" s="174">
        <f>F821+F826+F830+F831+F836+F840+F841+F843+F844+F846+F848+F849+F850</f>
        <v>1543014</v>
      </c>
      <c r="G820" s="174"/>
      <c r="H820" s="174">
        <f>H821+H826+H830+H831+H836+H840+H841+H843+H844+H846+H848+H849+H850</f>
        <v>1542635.9</v>
      </c>
      <c r="I820" s="174">
        <f>I821+I826+I830+I831+I836+I840+I841+I843+I844+I846+I848+I849+I850</f>
        <v>1350051</v>
      </c>
      <c r="J820" s="106">
        <f>I820/H820</f>
        <v>0.8751585516712013</v>
      </c>
      <c r="K820" s="133">
        <f aca="true" t="shared" si="60" ref="K820:K826">I820/I$54</f>
        <v>0.04081710046517601</v>
      </c>
    </row>
    <row r="821" spans="1:11" s="62" customFormat="1" ht="12.75">
      <c r="A821" s="189">
        <f t="shared" si="57"/>
        <v>732</v>
      </c>
      <c r="B821" s="90">
        <v>3110</v>
      </c>
      <c r="C821" s="84" t="s">
        <v>60</v>
      </c>
      <c r="D821" s="89"/>
      <c r="E821" s="88"/>
      <c r="F821" s="170">
        <f>SUM(F823:F825)</f>
        <v>1446000</v>
      </c>
      <c r="G821" s="170"/>
      <c r="H821" s="170">
        <f>SUM(H823:H825)</f>
        <v>1446000</v>
      </c>
      <c r="I821" s="170">
        <f>SUM(I823:I825)</f>
        <v>1224000</v>
      </c>
      <c r="J821" s="106">
        <f>I821/H821</f>
        <v>0.8464730290456431</v>
      </c>
      <c r="K821" s="133">
        <f t="shared" si="60"/>
        <v>0.03700610641329508</v>
      </c>
    </row>
    <row r="822" spans="1:11" s="62" customFormat="1" ht="12.75">
      <c r="A822" s="189">
        <f t="shared" si="57"/>
        <v>733</v>
      </c>
      <c r="B822" s="144"/>
      <c r="C822" s="84" t="s">
        <v>16</v>
      </c>
      <c r="D822" s="89"/>
      <c r="E822" s="88"/>
      <c r="F822" s="170"/>
      <c r="G822" s="170"/>
      <c r="H822" s="170"/>
      <c r="I822" s="170"/>
      <c r="J822" s="106"/>
      <c r="K822" s="133">
        <f t="shared" si="60"/>
        <v>0</v>
      </c>
    </row>
    <row r="823" spans="1:11" s="62" customFormat="1" ht="12.75">
      <c r="A823" s="189">
        <f t="shared" si="57"/>
        <v>734</v>
      </c>
      <c r="B823" s="144"/>
      <c r="C823" s="84" t="s">
        <v>266</v>
      </c>
      <c r="D823" s="89"/>
      <c r="E823" s="88"/>
      <c r="F823" s="170">
        <v>1090000</v>
      </c>
      <c r="G823" s="170"/>
      <c r="H823" s="170">
        <v>1090000</v>
      </c>
      <c r="I823" s="170">
        <v>774000</v>
      </c>
      <c r="J823" s="106">
        <f>I823/H823</f>
        <v>0.710091743119266</v>
      </c>
      <c r="K823" s="133">
        <f t="shared" si="60"/>
        <v>0.023400920231936594</v>
      </c>
    </row>
    <row r="824" spans="1:11" s="62" customFormat="1" ht="12.75">
      <c r="A824" s="189">
        <f t="shared" si="57"/>
        <v>735</v>
      </c>
      <c r="B824" s="144"/>
      <c r="C824" s="84" t="s">
        <v>263</v>
      </c>
      <c r="D824" s="89"/>
      <c r="E824" s="88"/>
      <c r="F824" s="170">
        <v>156000</v>
      </c>
      <c r="G824" s="170"/>
      <c r="H824" s="170">
        <v>156000</v>
      </c>
      <c r="I824" s="170">
        <v>250000</v>
      </c>
      <c r="J824" s="106">
        <f>I824/H824</f>
        <v>1.6025641025641026</v>
      </c>
      <c r="K824" s="133">
        <f t="shared" si="60"/>
        <v>0.007558436767421381</v>
      </c>
    </row>
    <row r="825" spans="1:11" s="62" customFormat="1" ht="12.75">
      <c r="A825" s="189">
        <f t="shared" si="57"/>
        <v>736</v>
      </c>
      <c r="B825" s="144"/>
      <c r="C825" s="84" t="s">
        <v>333</v>
      </c>
      <c r="D825" s="89"/>
      <c r="E825" s="88"/>
      <c r="F825" s="170">
        <v>200000</v>
      </c>
      <c r="G825" s="170"/>
      <c r="H825" s="170">
        <v>200000</v>
      </c>
      <c r="I825" s="170">
        <v>200000</v>
      </c>
      <c r="J825" s="106">
        <f>I825/H825</f>
        <v>1</v>
      </c>
      <c r="K825" s="133">
        <f t="shared" si="60"/>
        <v>0.006046749413937105</v>
      </c>
    </row>
    <row r="826" spans="1:11" s="62" customFormat="1" ht="12.75">
      <c r="A826" s="189">
        <f t="shared" si="57"/>
        <v>737</v>
      </c>
      <c r="B826" s="111">
        <v>4010</v>
      </c>
      <c r="C826" s="84" t="s">
        <v>30</v>
      </c>
      <c r="D826" s="89"/>
      <c r="E826" s="88"/>
      <c r="F826" s="170">
        <f>SUM(F828:F829)</f>
        <v>60000</v>
      </c>
      <c r="G826" s="170"/>
      <c r="H826" s="170">
        <f>SUM(H828:H829)</f>
        <v>60000</v>
      </c>
      <c r="I826" s="170">
        <f>SUM(I828:I829)</f>
        <v>60000</v>
      </c>
      <c r="J826" s="106">
        <f>I826/H826</f>
        <v>1</v>
      </c>
      <c r="K826" s="133">
        <f t="shared" si="60"/>
        <v>0.0018140248241811313</v>
      </c>
    </row>
    <row r="827" spans="1:11" s="62" customFormat="1" ht="12.75">
      <c r="A827" s="189">
        <f t="shared" si="57"/>
        <v>738</v>
      </c>
      <c r="B827" s="111"/>
      <c r="C827" s="84" t="s">
        <v>16</v>
      </c>
      <c r="D827" s="89"/>
      <c r="E827" s="88"/>
      <c r="F827" s="170"/>
      <c r="G827" s="170"/>
      <c r="H827" s="170"/>
      <c r="I827" s="170"/>
      <c r="J827" s="106"/>
      <c r="K827" s="133"/>
    </row>
    <row r="828" spans="1:11" s="62" customFormat="1" ht="12.75">
      <c r="A828" s="189">
        <f t="shared" si="57"/>
        <v>739</v>
      </c>
      <c r="B828" s="111"/>
      <c r="C828" s="84" t="s">
        <v>352</v>
      </c>
      <c r="D828" s="89"/>
      <c r="E828" s="88"/>
      <c r="F828" s="154">
        <v>27330</v>
      </c>
      <c r="G828" s="154"/>
      <c r="H828" s="89">
        <v>27330</v>
      </c>
      <c r="I828" s="170">
        <v>27880</v>
      </c>
      <c r="J828" s="106">
        <f>I828/H828</f>
        <v>1.0201244054152945</v>
      </c>
      <c r="K828" s="133">
        <f>I828/I$54</f>
        <v>0.0008429168683028324</v>
      </c>
    </row>
    <row r="829" spans="1:11" s="62" customFormat="1" ht="12.75">
      <c r="A829" s="189">
        <f t="shared" si="57"/>
        <v>740</v>
      </c>
      <c r="B829" s="111"/>
      <c r="C829" s="84" t="s">
        <v>353</v>
      </c>
      <c r="D829" s="89"/>
      <c r="E829" s="88"/>
      <c r="F829" s="170">
        <v>32670</v>
      </c>
      <c r="G829" s="170"/>
      <c r="H829" s="170">
        <v>32670</v>
      </c>
      <c r="I829" s="170">
        <f>60000-I828</f>
        <v>32120</v>
      </c>
      <c r="J829" s="106">
        <f>I829/H829</f>
        <v>0.9831649831649831</v>
      </c>
      <c r="K829" s="133">
        <f>I829/I$54</f>
        <v>0.000971107955878299</v>
      </c>
    </row>
    <row r="830" spans="1:11" s="62" customFormat="1" ht="12.75">
      <c r="A830" s="189">
        <f t="shared" si="57"/>
        <v>741</v>
      </c>
      <c r="B830" s="111">
        <v>4040</v>
      </c>
      <c r="C830" s="84" t="s">
        <v>356</v>
      </c>
      <c r="D830" s="89"/>
      <c r="E830" s="88"/>
      <c r="F830" s="170">
        <v>3000</v>
      </c>
      <c r="G830" s="170"/>
      <c r="H830" s="170">
        <v>2621.9</v>
      </c>
      <c r="I830" s="170">
        <v>3100</v>
      </c>
      <c r="J830" s="106">
        <f>I830/H830</f>
        <v>1.1823486784392998</v>
      </c>
      <c r="K830" s="133">
        <f>I830/I$54</f>
        <v>9.372461591602512E-05</v>
      </c>
    </row>
    <row r="831" spans="1:11" s="62" customFormat="1" ht="12.75">
      <c r="A831" s="189">
        <f t="shared" si="57"/>
        <v>742</v>
      </c>
      <c r="B831" s="111">
        <v>4110</v>
      </c>
      <c r="C831" s="84" t="s">
        <v>264</v>
      </c>
      <c r="D831" s="89"/>
      <c r="E831" s="88"/>
      <c r="F831" s="170">
        <f>SUM(F833:F835)</f>
        <v>21560</v>
      </c>
      <c r="G831" s="170"/>
      <c r="H831" s="170">
        <f>SUM(H833:H835)</f>
        <v>21560</v>
      </c>
      <c r="I831" s="170">
        <f>SUM(I833:I835)</f>
        <v>22010</v>
      </c>
      <c r="J831" s="106">
        <f>I831/H831</f>
        <v>1.0208719851576995</v>
      </c>
      <c r="K831" s="133">
        <f>I831/I$54</f>
        <v>0.0006654447730037783</v>
      </c>
    </row>
    <row r="832" spans="1:11" s="62" customFormat="1" ht="12.75">
      <c r="A832" s="189">
        <f t="shared" si="57"/>
        <v>743</v>
      </c>
      <c r="B832" s="111"/>
      <c r="C832" s="84" t="s">
        <v>16</v>
      </c>
      <c r="D832" s="89"/>
      <c r="E832" s="88"/>
      <c r="F832" s="170"/>
      <c r="G832" s="170"/>
      <c r="H832" s="170"/>
      <c r="I832" s="170"/>
      <c r="J832" s="106"/>
      <c r="K832" s="133"/>
    </row>
    <row r="833" spans="1:11" s="62" customFormat="1" ht="12.75">
      <c r="A833" s="189">
        <f aca="true" t="shared" si="61" ref="A833:A896">A832+1</f>
        <v>744</v>
      </c>
      <c r="B833" s="111"/>
      <c r="C833" s="112" t="s">
        <v>355</v>
      </c>
      <c r="D833" s="89"/>
      <c r="E833" s="88"/>
      <c r="F833" s="170">
        <v>11000</v>
      </c>
      <c r="G833" s="170"/>
      <c r="H833" s="170">
        <v>11000</v>
      </c>
      <c r="I833" s="170">
        <v>11200</v>
      </c>
      <c r="J833" s="106">
        <f>I833/H833</f>
        <v>1.018181818181818</v>
      </c>
      <c r="K833" s="133">
        <f>I833/I$54</f>
        <v>0.00033861796718047784</v>
      </c>
    </row>
    <row r="834" spans="1:11" s="62" customFormat="1" ht="12.75">
      <c r="A834" s="189">
        <f t="shared" si="61"/>
        <v>745</v>
      </c>
      <c r="B834" s="111"/>
      <c r="C834" s="112" t="s">
        <v>378</v>
      </c>
      <c r="D834" s="89"/>
      <c r="E834" s="88"/>
      <c r="F834" s="170">
        <v>0</v>
      </c>
      <c r="G834" s="170"/>
      <c r="H834" s="170">
        <v>0</v>
      </c>
      <c r="I834" s="170">
        <v>0</v>
      </c>
      <c r="J834" s="106"/>
      <c r="K834" s="133"/>
    </row>
    <row r="835" spans="1:11" s="62" customFormat="1" ht="12.75">
      <c r="A835" s="189">
        <f t="shared" si="61"/>
        <v>746</v>
      </c>
      <c r="B835" s="111"/>
      <c r="C835" s="84" t="s">
        <v>265</v>
      </c>
      <c r="D835" s="89"/>
      <c r="E835" s="88"/>
      <c r="F835" s="170">
        <v>10560</v>
      </c>
      <c r="G835" s="170"/>
      <c r="H835" s="170">
        <v>10560</v>
      </c>
      <c r="I835" s="170">
        <v>10810</v>
      </c>
      <c r="J835" s="106">
        <f>I835/H835</f>
        <v>1.0236742424242424</v>
      </c>
      <c r="K835" s="133">
        <f>I835/I$54</f>
        <v>0.0003268268058233005</v>
      </c>
    </row>
    <row r="836" spans="1:11" s="62" customFormat="1" ht="12.75">
      <c r="A836" s="189">
        <f t="shared" si="61"/>
        <v>747</v>
      </c>
      <c r="B836" s="111">
        <v>4120</v>
      </c>
      <c r="C836" s="84" t="s">
        <v>381</v>
      </c>
      <c r="D836" s="89"/>
      <c r="E836" s="88"/>
      <c r="F836" s="170">
        <f>SUM(F838:F839)</f>
        <v>1600</v>
      </c>
      <c r="G836" s="170"/>
      <c r="H836" s="170">
        <f>SUM(H838:H839)</f>
        <v>1600</v>
      </c>
      <c r="I836" s="170">
        <f>SUM(I838:I839)</f>
        <v>1600</v>
      </c>
      <c r="J836" s="106">
        <f>I836/H836</f>
        <v>1</v>
      </c>
      <c r="K836" s="133">
        <f>I836/I$54</f>
        <v>4.8373995311496835E-05</v>
      </c>
    </row>
    <row r="837" spans="1:11" s="62" customFormat="1" ht="12.75">
      <c r="A837" s="189">
        <f t="shared" si="61"/>
        <v>748</v>
      </c>
      <c r="B837" s="111"/>
      <c r="C837" s="84" t="s">
        <v>16</v>
      </c>
      <c r="D837" s="89"/>
      <c r="E837" s="88"/>
      <c r="F837" s="170"/>
      <c r="G837" s="170"/>
      <c r="H837" s="170"/>
      <c r="I837" s="170"/>
      <c r="J837" s="106"/>
      <c r="K837" s="133"/>
    </row>
    <row r="838" spans="1:11" s="62" customFormat="1" ht="12.75">
      <c r="A838" s="189">
        <f t="shared" si="61"/>
        <v>749</v>
      </c>
      <c r="B838" s="111"/>
      <c r="C838" s="84" t="s">
        <v>379</v>
      </c>
      <c r="D838" s="89"/>
      <c r="E838" s="88"/>
      <c r="F838" s="170">
        <v>1600</v>
      </c>
      <c r="G838" s="170"/>
      <c r="H838" s="170">
        <v>1600</v>
      </c>
      <c r="I838" s="170">
        <v>1600</v>
      </c>
      <c r="J838" s="106">
        <f>I838/H838</f>
        <v>1</v>
      </c>
      <c r="K838" s="133">
        <f>I838/I$54</f>
        <v>4.8373995311496835E-05</v>
      </c>
    </row>
    <row r="839" spans="1:11" s="62" customFormat="1" ht="12.75">
      <c r="A839" s="189">
        <f t="shared" si="61"/>
        <v>750</v>
      </c>
      <c r="B839" s="111"/>
      <c r="C839" s="84" t="s">
        <v>380</v>
      </c>
      <c r="D839" s="89"/>
      <c r="E839" s="88"/>
      <c r="F839" s="170">
        <v>0</v>
      </c>
      <c r="G839" s="170"/>
      <c r="H839" s="170">
        <v>0</v>
      </c>
      <c r="I839" s="170">
        <v>0</v>
      </c>
      <c r="J839" s="106"/>
      <c r="K839" s="133">
        <f>I839/I$54</f>
        <v>0</v>
      </c>
    </row>
    <row r="840" spans="1:11" s="62" customFormat="1" ht="12.75">
      <c r="A840" s="189">
        <f t="shared" si="61"/>
        <v>751</v>
      </c>
      <c r="B840" s="111">
        <v>4210</v>
      </c>
      <c r="C840" s="84" t="s">
        <v>382</v>
      </c>
      <c r="D840" s="89"/>
      <c r="E840" s="88"/>
      <c r="F840" s="170">
        <v>3000</v>
      </c>
      <c r="G840" s="170"/>
      <c r="H840" s="170">
        <v>3000</v>
      </c>
      <c r="I840" s="170">
        <v>3000</v>
      </c>
      <c r="J840" s="106">
        <f>I840/H840</f>
        <v>1</v>
      </c>
      <c r="K840" s="133">
        <f>I840/I$54</f>
        <v>9.070124120905656E-05</v>
      </c>
    </row>
    <row r="841" spans="1:11" s="62" customFormat="1" ht="12.75">
      <c r="A841" s="189">
        <f t="shared" si="61"/>
        <v>752</v>
      </c>
      <c r="B841" s="111">
        <v>4300</v>
      </c>
      <c r="C841" s="84" t="s">
        <v>383</v>
      </c>
      <c r="D841" s="89"/>
      <c r="E841" s="88"/>
      <c r="F841" s="170">
        <v>7110</v>
      </c>
      <c r="G841" s="170"/>
      <c r="H841" s="170">
        <v>7110</v>
      </c>
      <c r="I841" s="170">
        <v>7310</v>
      </c>
      <c r="J841" s="106">
        <f>I841/H841</f>
        <v>1.0281293952180028</v>
      </c>
      <c r="K841" s="133">
        <f>I841/I$54</f>
        <v>0.00022100869107940117</v>
      </c>
    </row>
    <row r="842" spans="1:11" s="62" customFormat="1" ht="12.75">
      <c r="A842" s="189">
        <f t="shared" si="61"/>
        <v>753</v>
      </c>
      <c r="B842" s="111">
        <v>4370</v>
      </c>
      <c r="C842" s="84" t="s">
        <v>474</v>
      </c>
      <c r="D842" s="89"/>
      <c r="E842" s="88"/>
      <c r="F842" s="170"/>
      <c r="G842" s="170"/>
      <c r="H842" s="170"/>
      <c r="I842" s="170"/>
      <c r="J842" s="106"/>
      <c r="K842" s="133"/>
    </row>
    <row r="843" spans="1:11" s="62" customFormat="1" ht="12.75">
      <c r="A843" s="189">
        <f t="shared" si="61"/>
        <v>754</v>
      </c>
      <c r="B843" s="111"/>
      <c r="C843" s="84" t="s">
        <v>560</v>
      </c>
      <c r="D843" s="89"/>
      <c r="E843" s="88"/>
      <c r="F843" s="170">
        <v>0</v>
      </c>
      <c r="G843" s="170"/>
      <c r="H843" s="170">
        <v>0</v>
      </c>
      <c r="I843" s="170">
        <v>3000</v>
      </c>
      <c r="J843" s="106"/>
      <c r="K843" s="133">
        <f aca="true" t="shared" si="62" ref="K843:K848">I843/I$54</f>
        <v>9.070124120905656E-05</v>
      </c>
    </row>
    <row r="844" spans="1:11" s="62" customFormat="1" ht="12.75">
      <c r="A844" s="189">
        <f t="shared" si="61"/>
        <v>755</v>
      </c>
      <c r="B844" s="111">
        <v>4400</v>
      </c>
      <c r="C844" s="112" t="s">
        <v>561</v>
      </c>
      <c r="D844" s="89"/>
      <c r="E844" s="88"/>
      <c r="F844" s="170">
        <v>0</v>
      </c>
      <c r="G844" s="170"/>
      <c r="H844" s="170">
        <v>0</v>
      </c>
      <c r="I844" s="170">
        <v>18000</v>
      </c>
      <c r="J844" s="106"/>
      <c r="K844" s="133">
        <f t="shared" si="62"/>
        <v>0.0005442074472543394</v>
      </c>
    </row>
    <row r="845" spans="1:11" s="62" customFormat="1" ht="12.75">
      <c r="A845" s="189">
        <f t="shared" si="61"/>
        <v>756</v>
      </c>
      <c r="B845" s="111">
        <v>4740</v>
      </c>
      <c r="C845" s="112" t="s">
        <v>511</v>
      </c>
      <c r="D845" s="89"/>
      <c r="E845" s="88"/>
      <c r="F845" s="170"/>
      <c r="G845" s="170"/>
      <c r="H845" s="170"/>
      <c r="I845" s="170"/>
      <c r="J845" s="106"/>
      <c r="K845" s="133"/>
    </row>
    <row r="846" spans="1:11" s="62" customFormat="1" ht="12.75">
      <c r="A846" s="189">
        <f t="shared" si="61"/>
        <v>757</v>
      </c>
      <c r="B846" s="111"/>
      <c r="C846" s="112" t="s">
        <v>562</v>
      </c>
      <c r="D846" s="89"/>
      <c r="E846" s="88"/>
      <c r="F846" s="170">
        <v>0</v>
      </c>
      <c r="G846" s="170"/>
      <c r="H846" s="170">
        <v>0</v>
      </c>
      <c r="I846" s="170">
        <v>5000</v>
      </c>
      <c r="J846" s="106"/>
      <c r="K846" s="133">
        <f t="shared" si="62"/>
        <v>0.0001511687353484276</v>
      </c>
    </row>
    <row r="847" spans="1:11" s="62" customFormat="1" ht="12.75">
      <c r="A847" s="189">
        <f t="shared" si="61"/>
        <v>758</v>
      </c>
      <c r="B847" s="111">
        <v>4750</v>
      </c>
      <c r="C847" s="84" t="s">
        <v>447</v>
      </c>
      <c r="D847" s="89"/>
      <c r="E847" s="88"/>
      <c r="F847" s="170"/>
      <c r="G847" s="170"/>
      <c r="H847" s="170"/>
      <c r="I847" s="170"/>
      <c r="J847" s="106"/>
      <c r="K847" s="133"/>
    </row>
    <row r="848" spans="1:11" s="62" customFormat="1" ht="12.75">
      <c r="A848" s="189">
        <f t="shared" si="61"/>
        <v>759</v>
      </c>
      <c r="B848" s="111"/>
      <c r="C848" s="84" t="s">
        <v>563</v>
      </c>
      <c r="D848" s="89"/>
      <c r="E848" s="88"/>
      <c r="F848" s="170">
        <v>0</v>
      </c>
      <c r="G848" s="170"/>
      <c r="H848" s="170">
        <v>0</v>
      </c>
      <c r="I848" s="170">
        <v>1500</v>
      </c>
      <c r="J848" s="106"/>
      <c r="K848" s="133">
        <f t="shared" si="62"/>
        <v>4.535062060452828E-05</v>
      </c>
    </row>
    <row r="849" spans="1:11" s="62" customFormat="1" ht="12.75">
      <c r="A849" s="189">
        <f t="shared" si="61"/>
        <v>760</v>
      </c>
      <c r="B849" s="111">
        <v>4440</v>
      </c>
      <c r="C849" s="112" t="s">
        <v>354</v>
      </c>
      <c r="D849" s="89"/>
      <c r="E849" s="88"/>
      <c r="F849" s="170">
        <v>744</v>
      </c>
      <c r="G849" s="170"/>
      <c r="H849" s="170">
        <v>744</v>
      </c>
      <c r="I849" s="170">
        <v>1531</v>
      </c>
      <c r="J849" s="106">
        <f>I849/H849</f>
        <v>2.057795698924731</v>
      </c>
      <c r="K849" s="133">
        <f>I849/I$54</f>
        <v>4.628786676368853E-05</v>
      </c>
    </row>
    <row r="850" spans="1:11" s="62" customFormat="1" ht="12.75">
      <c r="A850" s="189">
        <f t="shared" si="61"/>
        <v>761</v>
      </c>
      <c r="B850" s="111">
        <v>6060</v>
      </c>
      <c r="C850" s="112" t="s">
        <v>183</v>
      </c>
      <c r="D850" s="89"/>
      <c r="E850" s="88"/>
      <c r="F850" s="170">
        <f>SUM(F852:F853)</f>
        <v>0</v>
      </c>
      <c r="G850" s="170"/>
      <c r="H850" s="170">
        <f>SUM(H852:H853)</f>
        <v>0</v>
      </c>
      <c r="I850" s="170">
        <f>SUM(I852:I853)</f>
        <v>0</v>
      </c>
      <c r="J850" s="106"/>
      <c r="K850" s="133">
        <f>I850/I$54</f>
        <v>0</v>
      </c>
    </row>
    <row r="851" spans="1:11" s="62" customFormat="1" ht="12.75">
      <c r="A851" s="189">
        <f t="shared" si="61"/>
        <v>762</v>
      </c>
      <c r="B851" s="111"/>
      <c r="C851" s="112" t="s">
        <v>16</v>
      </c>
      <c r="D851" s="89"/>
      <c r="E851" s="88"/>
      <c r="F851" s="170"/>
      <c r="G851" s="170"/>
      <c r="H851" s="170"/>
      <c r="I851" s="170"/>
      <c r="J851" s="106"/>
      <c r="K851" s="133"/>
    </row>
    <row r="852" spans="1:11" s="62" customFormat="1" ht="12.75">
      <c r="A852" s="189">
        <f t="shared" si="61"/>
        <v>763</v>
      </c>
      <c r="B852" s="111"/>
      <c r="C852" s="112" t="s">
        <v>384</v>
      </c>
      <c r="D852" s="89"/>
      <c r="E852" s="88"/>
      <c r="F852" s="170">
        <v>0</v>
      </c>
      <c r="G852" s="170"/>
      <c r="H852" s="170">
        <v>0</v>
      </c>
      <c r="I852" s="170">
        <v>0</v>
      </c>
      <c r="J852" s="106"/>
      <c r="K852" s="133">
        <f>I852/I$54</f>
        <v>0</v>
      </c>
    </row>
    <row r="853" spans="1:11" s="62" customFormat="1" ht="12.75">
      <c r="A853" s="189">
        <f t="shared" si="61"/>
        <v>764</v>
      </c>
      <c r="B853" s="111"/>
      <c r="C853" s="112" t="s">
        <v>385</v>
      </c>
      <c r="D853" s="89"/>
      <c r="E853" s="88"/>
      <c r="F853" s="170">
        <v>0</v>
      </c>
      <c r="G853" s="170"/>
      <c r="H853" s="170">
        <v>0</v>
      </c>
      <c r="I853" s="170">
        <v>0</v>
      </c>
      <c r="J853" s="106"/>
      <c r="K853" s="133">
        <f>I853/I$54</f>
        <v>0</v>
      </c>
    </row>
    <row r="854" spans="1:11" ht="12.75">
      <c r="A854" s="189">
        <f>A853+1</f>
        <v>765</v>
      </c>
      <c r="B854" s="64">
        <v>85213</v>
      </c>
      <c r="C854" s="70" t="s">
        <v>225</v>
      </c>
      <c r="D854" s="26"/>
      <c r="E854" s="48"/>
      <c r="F854" s="161"/>
      <c r="G854" s="161"/>
      <c r="H854" s="161"/>
      <c r="I854" s="161"/>
      <c r="J854" s="106"/>
      <c r="K854" s="133"/>
    </row>
    <row r="855" spans="1:11" ht="12.75">
      <c r="A855" s="189">
        <f t="shared" si="61"/>
        <v>766</v>
      </c>
      <c r="B855" s="71"/>
      <c r="C855" s="70" t="s">
        <v>226</v>
      </c>
      <c r="D855" s="26"/>
      <c r="E855" s="48"/>
      <c r="F855" s="161"/>
      <c r="G855" s="161"/>
      <c r="H855" s="161"/>
      <c r="I855" s="161"/>
      <c r="J855" s="106"/>
      <c r="K855" s="133"/>
    </row>
    <row r="856" spans="1:11" ht="12.75">
      <c r="A856" s="189">
        <f t="shared" si="61"/>
        <v>767</v>
      </c>
      <c r="B856" s="71"/>
      <c r="C856" s="70" t="s">
        <v>285</v>
      </c>
      <c r="D856" s="26"/>
      <c r="E856" s="48"/>
      <c r="F856" s="161"/>
      <c r="G856" s="161"/>
      <c r="H856" s="161"/>
      <c r="I856" s="161"/>
      <c r="J856" s="106"/>
      <c r="K856" s="133"/>
    </row>
    <row r="857" spans="1:11" ht="12.75">
      <c r="A857" s="189">
        <f t="shared" si="61"/>
        <v>768</v>
      </c>
      <c r="B857" s="71"/>
      <c r="C857" s="70" t="s">
        <v>286</v>
      </c>
      <c r="D857" s="26"/>
      <c r="E857" s="48"/>
      <c r="F857" s="174">
        <f>F858</f>
        <v>12000</v>
      </c>
      <c r="G857" s="174"/>
      <c r="H857" s="174">
        <f>H858</f>
        <v>12000</v>
      </c>
      <c r="I857" s="174">
        <f>I858</f>
        <v>12000</v>
      </c>
      <c r="J857" s="213">
        <f>I857/H857</f>
        <v>1</v>
      </c>
      <c r="K857" s="136">
        <f aca="true" t="shared" si="63" ref="K857:K866">I857/I$54</f>
        <v>0.00036280496483622626</v>
      </c>
    </row>
    <row r="858" spans="1:11" ht="12.75">
      <c r="A858" s="189">
        <f t="shared" si="61"/>
        <v>769</v>
      </c>
      <c r="B858" s="111">
        <v>4130</v>
      </c>
      <c r="C858" s="84" t="s">
        <v>227</v>
      </c>
      <c r="D858" s="26"/>
      <c r="E858" s="48"/>
      <c r="F858" s="161">
        <v>12000</v>
      </c>
      <c r="G858" s="161"/>
      <c r="H858" s="161">
        <v>12000</v>
      </c>
      <c r="I858" s="161">
        <v>12000</v>
      </c>
      <c r="J858" s="106">
        <f>I858/H858</f>
        <v>1</v>
      </c>
      <c r="K858" s="133">
        <f t="shared" si="63"/>
        <v>0.00036280496483622626</v>
      </c>
    </row>
    <row r="859" spans="1:11" ht="12.75">
      <c r="A859" s="189">
        <f t="shared" si="61"/>
        <v>770</v>
      </c>
      <c r="B859" s="11">
        <v>85214</v>
      </c>
      <c r="C859" s="70" t="s">
        <v>137</v>
      </c>
      <c r="D859" s="26"/>
      <c r="E859" s="48"/>
      <c r="F859" s="161"/>
      <c r="G859" s="161"/>
      <c r="H859" s="161"/>
      <c r="I859" s="161"/>
      <c r="J859" s="106"/>
      <c r="K859" s="133">
        <f t="shared" si="63"/>
        <v>0</v>
      </c>
    </row>
    <row r="860" spans="1:11" ht="12.75">
      <c r="A860" s="189">
        <f t="shared" si="61"/>
        <v>771</v>
      </c>
      <c r="B860" s="11"/>
      <c r="C860" s="70" t="s">
        <v>234</v>
      </c>
      <c r="D860" s="26"/>
      <c r="E860" s="48"/>
      <c r="F860" s="174">
        <f>F861+F866+F872</f>
        <v>429415</v>
      </c>
      <c r="G860" s="174"/>
      <c r="H860" s="174">
        <f>H861+H866+H872</f>
        <v>424115</v>
      </c>
      <c r="I860" s="174">
        <f>I861+I866+I872</f>
        <v>415500</v>
      </c>
      <c r="J860" s="213">
        <f>I860/H860</f>
        <v>0.9796871131650614</v>
      </c>
      <c r="K860" s="136">
        <f t="shared" si="63"/>
        <v>0.012562121907454335</v>
      </c>
    </row>
    <row r="861" spans="1:11" ht="12.75">
      <c r="A861" s="189">
        <f t="shared" si="61"/>
        <v>772</v>
      </c>
      <c r="B861" s="4">
        <v>3110</v>
      </c>
      <c r="C861" s="84" t="s">
        <v>60</v>
      </c>
      <c r="D861" s="26"/>
      <c r="E861" s="48"/>
      <c r="F861" s="161">
        <f>SUM(F863:F865)</f>
        <v>407415</v>
      </c>
      <c r="G861" s="161">
        <f>SUM(G863:G865)</f>
        <v>0</v>
      </c>
      <c r="H861" s="161">
        <f>SUM(H863:H865)</f>
        <v>407415</v>
      </c>
      <c r="I861" s="161">
        <f>SUM(I863:I865)</f>
        <v>398000</v>
      </c>
      <c r="J861" s="106">
        <f>I861/H861</f>
        <v>0.976890885215321</v>
      </c>
      <c r="K861" s="133">
        <f t="shared" si="63"/>
        <v>0.012033031333734838</v>
      </c>
    </row>
    <row r="862" spans="1:11" ht="12.75">
      <c r="A862" s="189">
        <f t="shared" si="61"/>
        <v>773</v>
      </c>
      <c r="B862" s="4"/>
      <c r="C862" s="84" t="s">
        <v>16</v>
      </c>
      <c r="D862" s="26"/>
      <c r="E862" s="48"/>
      <c r="F862" s="161"/>
      <c r="G862" s="161"/>
      <c r="H862" s="161"/>
      <c r="I862" s="161"/>
      <c r="J862" s="106"/>
      <c r="K862" s="133">
        <f t="shared" si="63"/>
        <v>0</v>
      </c>
    </row>
    <row r="863" spans="1:11" ht="12.75">
      <c r="A863" s="189">
        <f t="shared" si="61"/>
        <v>774</v>
      </c>
      <c r="B863" s="4"/>
      <c r="C863" s="84" t="s">
        <v>61</v>
      </c>
      <c r="D863" s="26"/>
      <c r="E863" s="48"/>
      <c r="F863" s="161">
        <v>122000</v>
      </c>
      <c r="G863" s="161"/>
      <c r="H863" s="161">
        <v>122000</v>
      </c>
      <c r="I863" s="161">
        <v>116000</v>
      </c>
      <c r="J863" s="106">
        <f>I863/H863</f>
        <v>0.9508196721311475</v>
      </c>
      <c r="K863" s="133">
        <f t="shared" si="63"/>
        <v>0.003507114660083521</v>
      </c>
    </row>
    <row r="864" spans="1:11" ht="12.75">
      <c r="A864" s="189">
        <f t="shared" si="61"/>
        <v>775</v>
      </c>
      <c r="B864" s="4"/>
      <c r="C864" s="84" t="s">
        <v>62</v>
      </c>
      <c r="D864" s="26"/>
      <c r="E864" s="48"/>
      <c r="F864" s="161">
        <v>142000</v>
      </c>
      <c r="G864" s="161"/>
      <c r="H864" s="161">
        <v>142000</v>
      </c>
      <c r="I864" s="161">
        <v>145000</v>
      </c>
      <c r="J864" s="106">
        <f>I864/H864</f>
        <v>1.0211267605633803</v>
      </c>
      <c r="K864" s="133">
        <f t="shared" si="63"/>
        <v>0.004383893325104401</v>
      </c>
    </row>
    <row r="865" spans="1:11" ht="12.75">
      <c r="A865" s="189">
        <f t="shared" si="61"/>
        <v>776</v>
      </c>
      <c r="B865" s="4"/>
      <c r="C865" s="84" t="s">
        <v>282</v>
      </c>
      <c r="D865" s="26"/>
      <c r="E865" s="48"/>
      <c r="F865" s="161">
        <f>134273+9142</f>
        <v>143415</v>
      </c>
      <c r="G865" s="161"/>
      <c r="H865" s="161">
        <v>143415</v>
      </c>
      <c r="I865" s="161">
        <v>137000</v>
      </c>
      <c r="J865" s="106">
        <f>I865/H865</f>
        <v>0.955269671931109</v>
      </c>
      <c r="K865" s="133">
        <f t="shared" si="63"/>
        <v>0.004142023348546917</v>
      </c>
    </row>
    <row r="866" spans="1:11" ht="12.75">
      <c r="A866" s="189">
        <f t="shared" si="61"/>
        <v>777</v>
      </c>
      <c r="B866" s="4">
        <v>4110</v>
      </c>
      <c r="C866" s="84" t="s">
        <v>35</v>
      </c>
      <c r="D866" s="26"/>
      <c r="E866" s="48"/>
      <c r="F866" s="161">
        <f>SUM(F868:F869)</f>
        <v>2500</v>
      </c>
      <c r="G866" s="161"/>
      <c r="H866" s="161">
        <f>SUM(H868:H869)</f>
        <v>2500</v>
      </c>
      <c r="I866" s="161">
        <f>SUM(I868:I869)</f>
        <v>2500</v>
      </c>
      <c r="J866" s="106">
        <f>I866/H866</f>
        <v>1</v>
      </c>
      <c r="K866" s="133">
        <f t="shared" si="63"/>
        <v>7.55843676742138E-05</v>
      </c>
    </row>
    <row r="867" spans="1:11" ht="12.75">
      <c r="A867" s="189">
        <f t="shared" si="61"/>
        <v>778</v>
      </c>
      <c r="B867" s="4"/>
      <c r="C867" s="84" t="s">
        <v>16</v>
      </c>
      <c r="D867" s="26"/>
      <c r="E867" s="48"/>
      <c r="F867" s="161"/>
      <c r="G867" s="161"/>
      <c r="H867" s="161"/>
      <c r="I867" s="161"/>
      <c r="J867" s="106"/>
      <c r="K867" s="133"/>
    </row>
    <row r="868" spans="1:11" ht="12.75">
      <c r="A868" s="189">
        <f t="shared" si="61"/>
        <v>779</v>
      </c>
      <c r="B868" s="4"/>
      <c r="C868" s="84" t="s">
        <v>61</v>
      </c>
      <c r="D868" s="26"/>
      <c r="E868" s="48"/>
      <c r="F868" s="161">
        <v>1000</v>
      </c>
      <c r="G868" s="161"/>
      <c r="H868" s="161">
        <v>1000</v>
      </c>
      <c r="I868" s="161">
        <v>1000</v>
      </c>
      <c r="J868" s="106">
        <f>I868/H868</f>
        <v>1</v>
      </c>
      <c r="K868" s="133">
        <f>I868/I$54</f>
        <v>3.0233747069685523E-05</v>
      </c>
    </row>
    <row r="869" spans="1:11" ht="12.75">
      <c r="A869" s="189">
        <f t="shared" si="61"/>
        <v>780</v>
      </c>
      <c r="B869" s="4"/>
      <c r="C869" s="84" t="s">
        <v>62</v>
      </c>
      <c r="D869" s="26"/>
      <c r="E869" s="48"/>
      <c r="F869" s="161">
        <v>1500</v>
      </c>
      <c r="G869" s="161"/>
      <c r="H869" s="161">
        <v>1500</v>
      </c>
      <c r="I869" s="161">
        <v>1500</v>
      </c>
      <c r="J869" s="106">
        <f>I869/H869</f>
        <v>1</v>
      </c>
      <c r="K869" s="133">
        <f>I869/I$54</f>
        <v>4.535062060452828E-05</v>
      </c>
    </row>
    <row r="870" spans="1:11" ht="12.75">
      <c r="A870" s="189">
        <f t="shared" si="61"/>
        <v>781</v>
      </c>
      <c r="B870" s="4">
        <v>4330</v>
      </c>
      <c r="C870" s="84" t="s">
        <v>293</v>
      </c>
      <c r="D870" s="26"/>
      <c r="E870" s="48"/>
      <c r="F870" s="161"/>
      <c r="G870" s="161"/>
      <c r="H870" s="161"/>
      <c r="I870" s="161"/>
      <c r="J870" s="106"/>
      <c r="K870" s="133"/>
    </row>
    <row r="871" spans="1:11" ht="12.75">
      <c r="A871" s="189">
        <f t="shared" si="61"/>
        <v>782</v>
      </c>
      <c r="B871" s="4"/>
      <c r="C871" s="84" t="s">
        <v>294</v>
      </c>
      <c r="D871" s="26"/>
      <c r="E871" s="48"/>
      <c r="F871" s="161"/>
      <c r="G871" s="161"/>
      <c r="H871" s="161"/>
      <c r="I871" s="161"/>
      <c r="J871" s="106"/>
      <c r="K871" s="133"/>
    </row>
    <row r="872" spans="1:11" ht="12.75">
      <c r="A872" s="189">
        <f t="shared" si="61"/>
        <v>783</v>
      </c>
      <c r="B872" s="4"/>
      <c r="C872" s="84" t="s">
        <v>295</v>
      </c>
      <c r="D872" s="26"/>
      <c r="E872" s="48"/>
      <c r="F872" s="161">
        <v>19500</v>
      </c>
      <c r="G872" s="161"/>
      <c r="H872" s="161">
        <v>14200</v>
      </c>
      <c r="I872" s="161">
        <v>15000</v>
      </c>
      <c r="J872" s="106">
        <f>I872/H872</f>
        <v>1.056338028169014</v>
      </c>
      <c r="K872" s="133">
        <f>I872/I$54</f>
        <v>0.00045350620604528284</v>
      </c>
    </row>
    <row r="873" spans="1:11" ht="12.75">
      <c r="A873" s="189">
        <f t="shared" si="61"/>
        <v>784</v>
      </c>
      <c r="B873" s="11">
        <v>85215</v>
      </c>
      <c r="C873" s="70" t="s">
        <v>69</v>
      </c>
      <c r="D873" s="26"/>
      <c r="E873" s="48"/>
      <c r="F873" s="174">
        <f>F874</f>
        <v>204200</v>
      </c>
      <c r="G873" s="174"/>
      <c r="H873" s="174">
        <f>H874</f>
        <v>170000</v>
      </c>
      <c r="I873" s="174">
        <f>I874</f>
        <v>200000</v>
      </c>
      <c r="J873" s="217">
        <f>I873/H873</f>
        <v>1.1764705882352942</v>
      </c>
      <c r="K873" s="136">
        <f>I873/I$54</f>
        <v>0.006046749413937105</v>
      </c>
    </row>
    <row r="874" spans="1:11" ht="12.75">
      <c r="A874" s="189">
        <f t="shared" si="61"/>
        <v>785</v>
      </c>
      <c r="B874" s="4">
        <v>3110</v>
      </c>
      <c r="C874" s="84" t="s">
        <v>60</v>
      </c>
      <c r="D874" s="26"/>
      <c r="E874" s="48"/>
      <c r="F874" s="161">
        <v>204200</v>
      </c>
      <c r="G874" s="161"/>
      <c r="H874" s="170">
        <v>170000</v>
      </c>
      <c r="I874" s="170">
        <v>200000</v>
      </c>
      <c r="J874" s="106">
        <f>I874/H874</f>
        <v>1.1764705882352942</v>
      </c>
      <c r="K874" s="133">
        <f>I874/I$54</f>
        <v>0.006046749413937105</v>
      </c>
    </row>
    <row r="875" spans="1:11" ht="12.75">
      <c r="A875" s="189">
        <f>A874+1</f>
        <v>786</v>
      </c>
      <c r="B875" s="64">
        <v>85219</v>
      </c>
      <c r="C875" s="70" t="s">
        <v>138</v>
      </c>
      <c r="D875" s="26"/>
      <c r="E875" s="48"/>
      <c r="F875" s="174">
        <f>F876+F880+F881+F882+F883+F884+F885+F886+F887+F888+F890+F892+F893+F894+F895+F896+F898+F900+F902+F903</f>
        <v>539466</v>
      </c>
      <c r="G875" s="174"/>
      <c r="H875" s="174">
        <f>H876+H880+H881+H882+H883+H884+H885+H886+H887+H888+H890+H892+H893+H894+H895+H896+H898+H900+H902+H903</f>
        <v>537870.5</v>
      </c>
      <c r="I875" s="174">
        <f>I876+I880+I881+I882+I883+I884+I885+I886+I887+I888+I890+I892+I893+I894+I895+I896+I898+I900+I902+I903</f>
        <v>566840</v>
      </c>
      <c r="J875" s="217">
        <f>I875/H875</f>
        <v>1.053859618625673</v>
      </c>
      <c r="K875" s="139">
        <f>I875/I$54</f>
        <v>0.01713769718898054</v>
      </c>
    </row>
    <row r="876" spans="1:11" ht="12.75">
      <c r="A876" s="189">
        <f t="shared" si="61"/>
        <v>787</v>
      </c>
      <c r="B876" s="4">
        <v>3020</v>
      </c>
      <c r="C876" s="84" t="s">
        <v>297</v>
      </c>
      <c r="D876" s="26"/>
      <c r="E876" s="48"/>
      <c r="F876" s="161">
        <f>SUM(F878:F879)</f>
        <v>3120</v>
      </c>
      <c r="G876" s="161"/>
      <c r="H876" s="161">
        <f>SUM(H878:H879)</f>
        <v>3120</v>
      </c>
      <c r="I876" s="161">
        <f>SUM(I878:I879)</f>
        <v>5000</v>
      </c>
      <c r="J876" s="106">
        <f>I876/H876</f>
        <v>1.6025641025641026</v>
      </c>
      <c r="K876" s="133">
        <f>I876/I$54</f>
        <v>0.0001511687353484276</v>
      </c>
    </row>
    <row r="877" spans="1:11" ht="12.75">
      <c r="A877" s="189">
        <f t="shared" si="61"/>
        <v>788</v>
      </c>
      <c r="B877" s="4"/>
      <c r="C877" s="84" t="s">
        <v>16</v>
      </c>
      <c r="D877" s="26"/>
      <c r="E877" s="48"/>
      <c r="F877" s="161"/>
      <c r="G877" s="161"/>
      <c r="H877" s="161"/>
      <c r="I877" s="161"/>
      <c r="J877" s="106"/>
      <c r="K877" s="133"/>
    </row>
    <row r="878" spans="1:11" ht="12.75">
      <c r="A878" s="189">
        <f t="shared" si="61"/>
        <v>789</v>
      </c>
      <c r="B878" s="4"/>
      <c r="C878" s="84" t="s">
        <v>365</v>
      </c>
      <c r="D878" s="26"/>
      <c r="E878" s="48"/>
      <c r="F878" s="161">
        <v>1200</v>
      </c>
      <c r="G878" s="161"/>
      <c r="H878" s="161">
        <v>1200</v>
      </c>
      <c r="I878" s="161">
        <v>3000</v>
      </c>
      <c r="J878" s="106">
        <f>I878/H878</f>
        <v>2.5</v>
      </c>
      <c r="K878" s="133">
        <f>I878/I$54</f>
        <v>9.070124120905656E-05</v>
      </c>
    </row>
    <row r="879" spans="1:11" ht="12.75">
      <c r="A879" s="189">
        <f t="shared" si="61"/>
        <v>790</v>
      </c>
      <c r="B879" s="4"/>
      <c r="C879" s="84" t="s">
        <v>109</v>
      </c>
      <c r="D879" s="26"/>
      <c r="E879" s="48"/>
      <c r="F879" s="161">
        <v>1920</v>
      </c>
      <c r="G879" s="161"/>
      <c r="H879" s="161">
        <v>1920</v>
      </c>
      <c r="I879" s="161">
        <v>2000</v>
      </c>
      <c r="J879" s="106">
        <f>I879/H879</f>
        <v>1.0416666666666667</v>
      </c>
      <c r="K879" s="133">
        <f>I879/I$54</f>
        <v>6.0467494139371045E-05</v>
      </c>
    </row>
    <row r="880" spans="1:11" ht="12.75">
      <c r="A880" s="189">
        <f t="shared" si="61"/>
        <v>791</v>
      </c>
      <c r="B880" s="4">
        <v>4010</v>
      </c>
      <c r="C880" s="84" t="s">
        <v>30</v>
      </c>
      <c r="D880" s="26"/>
      <c r="E880" s="48"/>
      <c r="F880" s="161">
        <v>325000</v>
      </c>
      <c r="G880" s="161"/>
      <c r="H880" s="161">
        <v>325000</v>
      </c>
      <c r="I880" s="161">
        <v>330400</v>
      </c>
      <c r="J880" s="106">
        <f aca="true" t="shared" si="64" ref="J880:J887">I880/H880</f>
        <v>1.0166153846153847</v>
      </c>
      <c r="K880" s="133">
        <f aca="true" t="shared" si="65" ref="K880:K888">I880/I$54</f>
        <v>0.009989230031824097</v>
      </c>
    </row>
    <row r="881" spans="1:11" ht="12.75">
      <c r="A881" s="189">
        <f t="shared" si="61"/>
        <v>792</v>
      </c>
      <c r="B881" s="4">
        <v>4040</v>
      </c>
      <c r="C881" s="84" t="s">
        <v>31</v>
      </c>
      <c r="D881" s="26"/>
      <c r="E881" s="48"/>
      <c r="F881" s="161">
        <v>21000</v>
      </c>
      <c r="G881" s="161"/>
      <c r="H881" s="161">
        <v>19405.1</v>
      </c>
      <c r="I881" s="161">
        <v>26200</v>
      </c>
      <c r="J881" s="106">
        <f t="shared" si="64"/>
        <v>1.350160524810488</v>
      </c>
      <c r="K881" s="133">
        <f t="shared" si="65"/>
        <v>0.0007921241732257607</v>
      </c>
    </row>
    <row r="882" spans="1:11" ht="12.75">
      <c r="A882" s="189">
        <f t="shared" si="61"/>
        <v>793</v>
      </c>
      <c r="B882" s="4">
        <v>4110</v>
      </c>
      <c r="C882" s="84" t="s">
        <v>67</v>
      </c>
      <c r="D882" s="26"/>
      <c r="E882" s="48"/>
      <c r="F882" s="161">
        <v>58000</v>
      </c>
      <c r="G882" s="161"/>
      <c r="H882" s="161">
        <v>58000</v>
      </c>
      <c r="I882" s="161">
        <v>62400</v>
      </c>
      <c r="J882" s="106">
        <f t="shared" si="64"/>
        <v>1.0758620689655172</v>
      </c>
      <c r="K882" s="133">
        <f t="shared" si="65"/>
        <v>0.0018865858171483766</v>
      </c>
    </row>
    <row r="883" spans="1:11" ht="12.75">
      <c r="A883" s="189">
        <f t="shared" si="61"/>
        <v>794</v>
      </c>
      <c r="B883" s="4">
        <v>4120</v>
      </c>
      <c r="C883" s="84" t="s">
        <v>36</v>
      </c>
      <c r="D883" s="26"/>
      <c r="E883" s="48"/>
      <c r="F883" s="161">
        <v>8300</v>
      </c>
      <c r="G883" s="161"/>
      <c r="H883" s="161">
        <v>8300</v>
      </c>
      <c r="I883" s="161">
        <v>8700</v>
      </c>
      <c r="J883" s="106">
        <f t="shared" si="64"/>
        <v>1.0481927710843373</v>
      </c>
      <c r="K883" s="133">
        <f t="shared" si="65"/>
        <v>0.00026303359950626405</v>
      </c>
    </row>
    <row r="884" spans="1:11" ht="12.75">
      <c r="A884" s="189">
        <f t="shared" si="61"/>
        <v>795</v>
      </c>
      <c r="B884" s="4">
        <v>4170</v>
      </c>
      <c r="C884" s="84" t="s">
        <v>288</v>
      </c>
      <c r="D884" s="26"/>
      <c r="E884" s="48"/>
      <c r="F884" s="161">
        <v>4830</v>
      </c>
      <c r="G884" s="161"/>
      <c r="H884" s="161">
        <v>4830</v>
      </c>
      <c r="I884" s="161">
        <v>0</v>
      </c>
      <c r="J884" s="106">
        <f t="shared" si="64"/>
        <v>0</v>
      </c>
      <c r="K884" s="133">
        <f t="shared" si="65"/>
        <v>0</v>
      </c>
    </row>
    <row r="885" spans="1:11" ht="12.75">
      <c r="A885" s="189">
        <f t="shared" si="61"/>
        <v>796</v>
      </c>
      <c r="B885" s="4">
        <v>4210</v>
      </c>
      <c r="C885" s="84" t="s">
        <v>162</v>
      </c>
      <c r="D885" s="26"/>
      <c r="E885" s="48"/>
      <c r="F885" s="161">
        <v>14000</v>
      </c>
      <c r="G885" s="161"/>
      <c r="H885" s="161">
        <v>14000</v>
      </c>
      <c r="I885" s="161">
        <f>14300-I900-I902</f>
        <v>4800</v>
      </c>
      <c r="J885" s="106">
        <f t="shared" si="64"/>
        <v>0.34285714285714286</v>
      </c>
      <c r="K885" s="133">
        <f t="shared" si="65"/>
        <v>0.0001451219859344905</v>
      </c>
    </row>
    <row r="886" spans="1:11" ht="12.75">
      <c r="A886" s="189">
        <f t="shared" si="61"/>
        <v>797</v>
      </c>
      <c r="B886" s="4">
        <v>4280</v>
      </c>
      <c r="C886" s="84" t="s">
        <v>396</v>
      </c>
      <c r="D886" s="26"/>
      <c r="E886" s="48"/>
      <c r="F886" s="161">
        <v>1000</v>
      </c>
      <c r="G886" s="161"/>
      <c r="H886" s="161">
        <v>1000</v>
      </c>
      <c r="I886" s="161">
        <v>1000</v>
      </c>
      <c r="J886" s="106">
        <f t="shared" si="64"/>
        <v>1</v>
      </c>
      <c r="K886" s="133">
        <f t="shared" si="65"/>
        <v>3.0233747069685523E-05</v>
      </c>
    </row>
    <row r="887" spans="1:11" ht="12.75">
      <c r="A887" s="189">
        <f t="shared" si="61"/>
        <v>798</v>
      </c>
      <c r="B887" s="4">
        <v>4300</v>
      </c>
      <c r="C887" s="84" t="s">
        <v>160</v>
      </c>
      <c r="D887" s="26"/>
      <c r="E887" s="48"/>
      <c r="F887" s="161">
        <v>89986</v>
      </c>
      <c r="G887" s="161"/>
      <c r="H887" s="161">
        <v>89986</v>
      </c>
      <c r="I887" s="161">
        <f>60100+2690-5000</f>
        <v>57790</v>
      </c>
      <c r="J887" s="106">
        <f t="shared" si="64"/>
        <v>0.6422110106016491</v>
      </c>
      <c r="K887" s="133">
        <f t="shared" si="65"/>
        <v>0.0017472082431571263</v>
      </c>
    </row>
    <row r="888" spans="1:11" ht="12.75">
      <c r="A888" s="189">
        <f t="shared" si="61"/>
        <v>799</v>
      </c>
      <c r="B888" s="15">
        <v>4350</v>
      </c>
      <c r="C888" s="127" t="s">
        <v>493</v>
      </c>
      <c r="D888" s="26"/>
      <c r="E888" s="48"/>
      <c r="F888" s="161">
        <v>0</v>
      </c>
      <c r="G888" s="161"/>
      <c r="H888" s="161">
        <v>0</v>
      </c>
      <c r="I888" s="161">
        <v>1500</v>
      </c>
      <c r="J888" s="106"/>
      <c r="K888" s="133">
        <f t="shared" si="65"/>
        <v>4.535062060452828E-05</v>
      </c>
    </row>
    <row r="889" spans="1:11" ht="12.75">
      <c r="A889" s="189">
        <f t="shared" si="61"/>
        <v>800</v>
      </c>
      <c r="B889" s="15">
        <v>4360</v>
      </c>
      <c r="C889" s="127" t="s">
        <v>474</v>
      </c>
      <c r="D889" s="26"/>
      <c r="E889" s="48"/>
      <c r="F889" s="161"/>
      <c r="G889" s="161"/>
      <c r="H889" s="161"/>
      <c r="I889" s="161"/>
      <c r="J889" s="106"/>
      <c r="K889" s="133"/>
    </row>
    <row r="890" spans="1:11" ht="12.75">
      <c r="A890" s="189">
        <f t="shared" si="61"/>
        <v>801</v>
      </c>
      <c r="B890" s="15"/>
      <c r="C890" s="127" t="s">
        <v>439</v>
      </c>
      <c r="D890" s="26"/>
      <c r="E890" s="48"/>
      <c r="F890" s="161">
        <v>0</v>
      </c>
      <c r="G890" s="161"/>
      <c r="H890" s="161">
        <v>0</v>
      </c>
      <c r="I890" s="161">
        <v>0</v>
      </c>
      <c r="J890" s="106"/>
      <c r="K890" s="133">
        <f>I890/I$54</f>
        <v>0</v>
      </c>
    </row>
    <row r="891" spans="1:11" ht="12.75">
      <c r="A891" s="189">
        <f t="shared" si="61"/>
        <v>802</v>
      </c>
      <c r="B891" s="15">
        <v>4370</v>
      </c>
      <c r="C891" s="127" t="s">
        <v>474</v>
      </c>
      <c r="D891" s="26"/>
      <c r="E891" s="48"/>
      <c r="F891" s="161"/>
      <c r="G891" s="161"/>
      <c r="H891" s="161"/>
      <c r="I891" s="161"/>
      <c r="J891" s="106"/>
      <c r="K891" s="133"/>
    </row>
    <row r="892" spans="1:11" ht="12.75">
      <c r="A892" s="189">
        <f t="shared" si="61"/>
        <v>803</v>
      </c>
      <c r="B892" s="15"/>
      <c r="C892" s="127" t="s">
        <v>440</v>
      </c>
      <c r="D892" s="26"/>
      <c r="E892" s="48"/>
      <c r="F892" s="161">
        <v>0</v>
      </c>
      <c r="G892" s="161"/>
      <c r="H892" s="161">
        <v>0</v>
      </c>
      <c r="I892" s="161">
        <v>5400</v>
      </c>
      <c r="J892" s="106"/>
      <c r="K892" s="133">
        <f>I892/I$54</f>
        <v>0.00016326223417630181</v>
      </c>
    </row>
    <row r="893" spans="1:11" ht="12.75">
      <c r="A893" s="189">
        <f t="shared" si="61"/>
        <v>804</v>
      </c>
      <c r="B893" s="111">
        <v>4400</v>
      </c>
      <c r="C893" s="84" t="s">
        <v>509</v>
      </c>
      <c r="D893" s="26"/>
      <c r="E893" s="48"/>
      <c r="F893" s="161">
        <v>0</v>
      </c>
      <c r="G893" s="161"/>
      <c r="H893" s="161">
        <v>0</v>
      </c>
      <c r="I893" s="161">
        <v>36000</v>
      </c>
      <c r="J893" s="106"/>
      <c r="K893" s="133">
        <f>I893/I$54</f>
        <v>0.0010884148945086787</v>
      </c>
    </row>
    <row r="894" spans="1:11" ht="12.75">
      <c r="A894" s="189">
        <f t="shared" si="61"/>
        <v>805</v>
      </c>
      <c r="B894" s="4">
        <v>4410</v>
      </c>
      <c r="C894" s="84" t="s">
        <v>63</v>
      </c>
      <c r="D894" s="26"/>
      <c r="E894" s="48"/>
      <c r="F894" s="161">
        <v>5400</v>
      </c>
      <c r="G894" s="161"/>
      <c r="H894" s="161">
        <v>5400</v>
      </c>
      <c r="I894" s="161">
        <v>5400</v>
      </c>
      <c r="J894" s="106">
        <f>I894/H894</f>
        <v>1</v>
      </c>
      <c r="K894" s="133">
        <f>I894/I$54</f>
        <v>0.00016326223417630181</v>
      </c>
    </row>
    <row r="895" spans="1:11" ht="12.75">
      <c r="A895" s="189">
        <f t="shared" si="61"/>
        <v>806</v>
      </c>
      <c r="B895" s="4">
        <v>4430</v>
      </c>
      <c r="C895" s="84" t="s">
        <v>44</v>
      </c>
      <c r="D895" s="26"/>
      <c r="E895" s="48"/>
      <c r="F895" s="161">
        <v>1350</v>
      </c>
      <c r="G895" s="161"/>
      <c r="H895" s="161">
        <v>1350</v>
      </c>
      <c r="I895" s="161">
        <v>2000</v>
      </c>
      <c r="J895" s="106">
        <f>I895/H895</f>
        <v>1.4814814814814814</v>
      </c>
      <c r="K895" s="133">
        <f>I895/I$54</f>
        <v>6.0467494139371045E-05</v>
      </c>
    </row>
    <row r="896" spans="1:11" ht="12.75">
      <c r="A896" s="189">
        <f t="shared" si="61"/>
        <v>807</v>
      </c>
      <c r="B896" s="4">
        <v>4440</v>
      </c>
      <c r="C896" s="84" t="s">
        <v>68</v>
      </c>
      <c r="D896" s="26"/>
      <c r="E896" s="48"/>
      <c r="F896" s="161">
        <v>4466</v>
      </c>
      <c r="G896" s="161"/>
      <c r="H896" s="161">
        <v>4466</v>
      </c>
      <c r="I896" s="161">
        <v>5750</v>
      </c>
      <c r="J896" s="106">
        <f>I896/H896</f>
        <v>1.2875055978504255</v>
      </c>
      <c r="K896" s="133">
        <f>I896/I$54</f>
        <v>0.00017384404565069176</v>
      </c>
    </row>
    <row r="897" spans="1:11" ht="12.75">
      <c r="A897" s="189">
        <f aca="true" t="shared" si="66" ref="A897:A962">A896+1</f>
        <v>808</v>
      </c>
      <c r="B897" s="4">
        <v>4700</v>
      </c>
      <c r="C897" s="84" t="s">
        <v>512</v>
      </c>
      <c r="D897" s="26"/>
      <c r="E897" s="48"/>
      <c r="F897" s="161"/>
      <c r="G897" s="161"/>
      <c r="H897" s="161"/>
      <c r="I897" s="161"/>
      <c r="J897" s="106"/>
      <c r="K897" s="133"/>
    </row>
    <row r="898" spans="1:11" ht="12.75">
      <c r="A898" s="189">
        <f t="shared" si="66"/>
        <v>809</v>
      </c>
      <c r="B898" s="4"/>
      <c r="C898" s="84" t="s">
        <v>513</v>
      </c>
      <c r="D898" s="26"/>
      <c r="E898" s="48"/>
      <c r="F898" s="161">
        <v>0</v>
      </c>
      <c r="G898" s="161"/>
      <c r="H898" s="161">
        <v>0</v>
      </c>
      <c r="I898" s="161">
        <v>5000</v>
      </c>
      <c r="J898" s="106"/>
      <c r="K898" s="133">
        <f aca="true" t="shared" si="67" ref="K898:K903">I898/I$54</f>
        <v>0.0001511687353484276</v>
      </c>
    </row>
    <row r="899" spans="1:11" ht="12.75">
      <c r="A899" s="189">
        <f t="shared" si="66"/>
        <v>810</v>
      </c>
      <c r="B899" s="15">
        <v>4740</v>
      </c>
      <c r="C899" s="127" t="s">
        <v>445</v>
      </c>
      <c r="D899" s="26"/>
      <c r="E899" s="48"/>
      <c r="F899" s="161"/>
      <c r="G899" s="161"/>
      <c r="H899" s="161"/>
      <c r="I899" s="161"/>
      <c r="J899" s="106"/>
      <c r="K899" s="133">
        <f t="shared" si="67"/>
        <v>0</v>
      </c>
    </row>
    <row r="900" spans="1:11" ht="12.75">
      <c r="A900" s="189">
        <f t="shared" si="66"/>
        <v>811</v>
      </c>
      <c r="B900" s="15"/>
      <c r="C900" s="127" t="s">
        <v>446</v>
      </c>
      <c r="D900" s="26"/>
      <c r="E900" s="48"/>
      <c r="F900" s="161">
        <v>0</v>
      </c>
      <c r="G900" s="161"/>
      <c r="H900" s="161">
        <v>0</v>
      </c>
      <c r="I900" s="161">
        <v>4500</v>
      </c>
      <c r="J900" s="106"/>
      <c r="K900" s="133">
        <f t="shared" si="67"/>
        <v>0.00013605186181358484</v>
      </c>
    </row>
    <row r="901" spans="1:11" ht="12.75">
      <c r="A901" s="189">
        <f t="shared" si="66"/>
        <v>812</v>
      </c>
      <c r="B901" s="15">
        <v>4750</v>
      </c>
      <c r="C901" s="127" t="s">
        <v>447</v>
      </c>
      <c r="D901" s="26"/>
      <c r="E901" s="48"/>
      <c r="F901" s="161"/>
      <c r="G901" s="161"/>
      <c r="H901" s="161"/>
      <c r="I901" s="161"/>
      <c r="J901" s="106"/>
      <c r="K901" s="133">
        <f t="shared" si="67"/>
        <v>0</v>
      </c>
    </row>
    <row r="902" spans="1:11" ht="12.75">
      <c r="A902" s="189">
        <f t="shared" si="66"/>
        <v>813</v>
      </c>
      <c r="B902" s="15"/>
      <c r="C902" s="127" t="s">
        <v>448</v>
      </c>
      <c r="D902" s="26"/>
      <c r="E902" s="48"/>
      <c r="F902" s="161">
        <v>0</v>
      </c>
      <c r="G902" s="161"/>
      <c r="H902" s="161">
        <v>0</v>
      </c>
      <c r="I902" s="161">
        <v>5000</v>
      </c>
      <c r="J902" s="106"/>
      <c r="K902" s="133">
        <f t="shared" si="67"/>
        <v>0.0001511687353484276</v>
      </c>
    </row>
    <row r="903" spans="1:11" ht="12.75">
      <c r="A903" s="189">
        <f t="shared" si="66"/>
        <v>814</v>
      </c>
      <c r="B903" s="4">
        <v>6060</v>
      </c>
      <c r="C903" s="84" t="s">
        <v>208</v>
      </c>
      <c r="D903" s="26"/>
      <c r="E903" s="48"/>
      <c r="F903" s="161">
        <v>3014</v>
      </c>
      <c r="G903" s="161"/>
      <c r="H903" s="161">
        <v>3013.4</v>
      </c>
      <c r="I903" s="161">
        <v>0</v>
      </c>
      <c r="J903" s="106">
        <f>I903/H903</f>
        <v>0</v>
      </c>
      <c r="K903" s="133">
        <f t="shared" si="67"/>
        <v>0</v>
      </c>
    </row>
    <row r="904" spans="1:11" ht="12.75">
      <c r="A904" s="189">
        <f t="shared" si="66"/>
        <v>815</v>
      </c>
      <c r="B904" s="64">
        <v>85228</v>
      </c>
      <c r="C904" s="70" t="s">
        <v>139</v>
      </c>
      <c r="D904" s="26"/>
      <c r="E904" s="48"/>
      <c r="F904" s="161"/>
      <c r="G904" s="161"/>
      <c r="H904" s="161"/>
      <c r="I904" s="161"/>
      <c r="J904" s="106"/>
      <c r="K904" s="133"/>
    </row>
    <row r="905" spans="1:11" ht="12.75">
      <c r="A905" s="189">
        <f t="shared" si="66"/>
        <v>816</v>
      </c>
      <c r="B905" s="64"/>
      <c r="C905" s="70" t="s">
        <v>140</v>
      </c>
      <c r="D905" s="26"/>
      <c r="E905" s="48"/>
      <c r="F905" s="174">
        <f>SUM(F906:F912)</f>
        <v>231760</v>
      </c>
      <c r="G905" s="174"/>
      <c r="H905" s="174">
        <f>SUM(H906:H912)</f>
        <v>230770.42</v>
      </c>
      <c r="I905" s="174">
        <f>SUM(I906:I912)</f>
        <v>270950</v>
      </c>
      <c r="J905" s="217">
        <f aca="true" t="shared" si="68" ref="J905:J914">I905/H905</f>
        <v>1.1741106160832917</v>
      </c>
      <c r="K905" s="139">
        <f aca="true" t="shared" si="69" ref="K905:K914">I905/I$54</f>
        <v>0.008191833768531291</v>
      </c>
    </row>
    <row r="906" spans="1:11" ht="12.75">
      <c r="A906" s="189">
        <f t="shared" si="66"/>
        <v>817</v>
      </c>
      <c r="B906" s="4">
        <v>3020</v>
      </c>
      <c r="C906" s="84" t="s">
        <v>297</v>
      </c>
      <c r="D906" s="26"/>
      <c r="E906" s="48"/>
      <c r="F906" s="161">
        <v>2970</v>
      </c>
      <c r="G906" s="161"/>
      <c r="H906" s="161">
        <v>2960.92</v>
      </c>
      <c r="I906" s="161">
        <v>3000</v>
      </c>
      <c r="J906" s="106">
        <f t="shared" si="68"/>
        <v>1.013198600435</v>
      </c>
      <c r="K906" s="133">
        <f t="shared" si="69"/>
        <v>9.070124120905656E-05</v>
      </c>
    </row>
    <row r="907" spans="1:11" ht="12.75">
      <c r="A907" s="189">
        <f t="shared" si="66"/>
        <v>818</v>
      </c>
      <c r="B907" s="4">
        <v>4010</v>
      </c>
      <c r="C907" s="84" t="s">
        <v>30</v>
      </c>
      <c r="D907" s="26"/>
      <c r="E907" s="48"/>
      <c r="F907" s="161">
        <v>174300</v>
      </c>
      <c r="G907" s="161"/>
      <c r="H907" s="161">
        <v>174300</v>
      </c>
      <c r="I907" s="161">
        <v>204000</v>
      </c>
      <c r="J907" s="106">
        <f t="shared" si="68"/>
        <v>1.1703958691910499</v>
      </c>
      <c r="K907" s="133">
        <f t="shared" si="69"/>
        <v>0.006167684402215846</v>
      </c>
    </row>
    <row r="908" spans="1:11" ht="12.75">
      <c r="A908" s="189">
        <f t="shared" si="66"/>
        <v>819</v>
      </c>
      <c r="B908" s="4">
        <v>4040</v>
      </c>
      <c r="C908" s="84" t="s">
        <v>31</v>
      </c>
      <c r="D908" s="26"/>
      <c r="E908" s="48"/>
      <c r="F908" s="161">
        <v>12600</v>
      </c>
      <c r="G908" s="161"/>
      <c r="H908" s="161">
        <v>11619.5</v>
      </c>
      <c r="I908" s="161">
        <v>14400</v>
      </c>
      <c r="J908" s="106">
        <f t="shared" si="68"/>
        <v>1.2392960110159645</v>
      </c>
      <c r="K908" s="133">
        <f t="shared" si="69"/>
        <v>0.0004353659578034715</v>
      </c>
    </row>
    <row r="909" spans="1:11" ht="12.75">
      <c r="A909" s="189">
        <f t="shared" si="66"/>
        <v>820</v>
      </c>
      <c r="B909" s="4">
        <v>4110</v>
      </c>
      <c r="C909" s="84" t="s">
        <v>35</v>
      </c>
      <c r="D909" s="26"/>
      <c r="E909" s="48"/>
      <c r="F909" s="161">
        <v>32300</v>
      </c>
      <c r="G909" s="161"/>
      <c r="H909" s="161">
        <v>32300</v>
      </c>
      <c r="I909" s="161">
        <v>38700</v>
      </c>
      <c r="J909" s="106">
        <f t="shared" si="68"/>
        <v>1.1981424148606812</v>
      </c>
      <c r="K909" s="133">
        <f t="shared" si="69"/>
        <v>0.0011700460115968297</v>
      </c>
    </row>
    <row r="910" spans="1:11" ht="12.75">
      <c r="A910" s="189">
        <f t="shared" si="66"/>
        <v>821</v>
      </c>
      <c r="B910" s="4">
        <v>4120</v>
      </c>
      <c r="C910" s="84" t="s">
        <v>36</v>
      </c>
      <c r="D910" s="26"/>
      <c r="E910" s="48"/>
      <c r="F910" s="161">
        <v>4600</v>
      </c>
      <c r="G910" s="161"/>
      <c r="H910" s="161">
        <v>4600</v>
      </c>
      <c r="I910" s="161">
        <v>4600</v>
      </c>
      <c r="J910" s="106">
        <f t="shared" si="68"/>
        <v>1</v>
      </c>
      <c r="K910" s="133">
        <f t="shared" si="69"/>
        <v>0.0001390752365205534</v>
      </c>
    </row>
    <row r="911" spans="1:11" ht="12.75">
      <c r="A911" s="189">
        <f t="shared" si="66"/>
        <v>822</v>
      </c>
      <c r="B911" s="4">
        <v>4430</v>
      </c>
      <c r="C911" s="84" t="s">
        <v>44</v>
      </c>
      <c r="D911" s="26"/>
      <c r="E911" s="48"/>
      <c r="F911" s="161">
        <v>400</v>
      </c>
      <c r="G911" s="161"/>
      <c r="H911" s="161">
        <v>400</v>
      </c>
      <c r="I911" s="161">
        <v>500</v>
      </c>
      <c r="J911" s="106">
        <f t="shared" si="68"/>
        <v>1.25</v>
      </c>
      <c r="K911" s="133">
        <f t="shared" si="69"/>
        <v>1.5116873534842761E-05</v>
      </c>
    </row>
    <row r="912" spans="1:11" ht="12.75">
      <c r="A912" s="189">
        <f t="shared" si="66"/>
        <v>823</v>
      </c>
      <c r="B912" s="4">
        <v>4440</v>
      </c>
      <c r="C912" s="84" t="s">
        <v>59</v>
      </c>
      <c r="D912" s="26"/>
      <c r="E912" s="48"/>
      <c r="F912" s="161">
        <v>4590</v>
      </c>
      <c r="G912" s="161"/>
      <c r="H912" s="161">
        <v>4590</v>
      </c>
      <c r="I912" s="161">
        <v>5750</v>
      </c>
      <c r="J912" s="106">
        <f t="shared" si="68"/>
        <v>1.252723311546841</v>
      </c>
      <c r="K912" s="133">
        <f t="shared" si="69"/>
        <v>0.00017384404565069176</v>
      </c>
    </row>
    <row r="913" spans="1:11" ht="12.75">
      <c r="A913" s="189">
        <f t="shared" si="66"/>
        <v>824</v>
      </c>
      <c r="B913" s="64">
        <v>85295</v>
      </c>
      <c r="C913" s="70" t="s">
        <v>28</v>
      </c>
      <c r="D913" s="26"/>
      <c r="E913" s="48"/>
      <c r="F913" s="174">
        <f>F914</f>
        <v>226030</v>
      </c>
      <c r="G913" s="174"/>
      <c r="H913" s="174">
        <f>H914</f>
        <v>226030</v>
      </c>
      <c r="I913" s="174">
        <f>I914</f>
        <v>145000</v>
      </c>
      <c r="J913" s="217">
        <f t="shared" si="68"/>
        <v>0.6415077644560456</v>
      </c>
      <c r="K913" s="139">
        <f t="shared" si="69"/>
        <v>0.004383893325104401</v>
      </c>
    </row>
    <row r="914" spans="1:11" ht="12.75">
      <c r="A914" s="189">
        <f t="shared" si="66"/>
        <v>825</v>
      </c>
      <c r="B914" s="4">
        <v>3110</v>
      </c>
      <c r="C914" s="84" t="s">
        <v>60</v>
      </c>
      <c r="D914" s="26"/>
      <c r="E914" s="48"/>
      <c r="F914" s="161">
        <f>SUM(F916:F918)</f>
        <v>226030</v>
      </c>
      <c r="G914" s="161"/>
      <c r="H914" s="161">
        <f>SUM(H916:H918)</f>
        <v>226030</v>
      </c>
      <c r="I914" s="161">
        <f>SUM(I916:I918)</f>
        <v>145000</v>
      </c>
      <c r="J914" s="106">
        <f t="shared" si="68"/>
        <v>0.6415077644560456</v>
      </c>
      <c r="K914" s="133">
        <f t="shared" si="69"/>
        <v>0.004383893325104401</v>
      </c>
    </row>
    <row r="915" spans="1:11" ht="12.75">
      <c r="A915" s="189">
        <f t="shared" si="66"/>
        <v>826</v>
      </c>
      <c r="B915" s="4"/>
      <c r="C915" s="84" t="s">
        <v>16</v>
      </c>
      <c r="D915" s="26"/>
      <c r="E915" s="48"/>
      <c r="F915" s="161"/>
      <c r="G915" s="161"/>
      <c r="H915" s="161"/>
      <c r="I915" s="161"/>
      <c r="J915" s="106"/>
      <c r="K915" s="133"/>
    </row>
    <row r="916" spans="1:11" ht="12.75">
      <c r="A916" s="189">
        <f t="shared" si="66"/>
        <v>827</v>
      </c>
      <c r="B916" s="4"/>
      <c r="C916" s="84" t="s">
        <v>476</v>
      </c>
      <c r="D916" s="26"/>
      <c r="E916" s="48"/>
      <c r="F916" s="161">
        <v>157230</v>
      </c>
      <c r="G916" s="161"/>
      <c r="H916" s="161">
        <v>157230</v>
      </c>
      <c r="I916" s="161">
        <v>70000</v>
      </c>
      <c r="J916" s="106">
        <f>I916/H916</f>
        <v>0.4452076575717102</v>
      </c>
      <c r="K916" s="133">
        <f>I916/I$54</f>
        <v>0.0021163622948779867</v>
      </c>
    </row>
    <row r="917" spans="1:11" ht="12.75">
      <c r="A917" s="189">
        <f t="shared" si="66"/>
        <v>828</v>
      </c>
      <c r="B917" s="4"/>
      <c r="C917" s="84" t="s">
        <v>477</v>
      </c>
      <c r="D917" s="26"/>
      <c r="E917" s="48"/>
      <c r="F917" s="161">
        <v>58800</v>
      </c>
      <c r="G917" s="161"/>
      <c r="H917" s="161">
        <v>58800</v>
      </c>
      <c r="I917" s="161">
        <v>60000</v>
      </c>
      <c r="J917" s="106">
        <f>I917/H917</f>
        <v>1.0204081632653061</v>
      </c>
      <c r="K917" s="133">
        <f>I917/I$54</f>
        <v>0.0018140248241811313</v>
      </c>
    </row>
    <row r="918" spans="1:11" ht="12.75">
      <c r="A918" s="189">
        <f t="shared" si="66"/>
        <v>829</v>
      </c>
      <c r="B918" s="4"/>
      <c r="C918" s="84" t="s">
        <v>478</v>
      </c>
      <c r="D918" s="26"/>
      <c r="E918" s="48"/>
      <c r="F918" s="161">
        <v>10000</v>
      </c>
      <c r="G918" s="161"/>
      <c r="H918" s="161">
        <v>10000</v>
      </c>
      <c r="I918" s="161">
        <v>15000</v>
      </c>
      <c r="J918" s="106">
        <f>I918/H918</f>
        <v>1.5</v>
      </c>
      <c r="K918" s="133">
        <f>I918/I$54</f>
        <v>0.00045350620604528284</v>
      </c>
    </row>
    <row r="919" spans="1:11" s="72" customFormat="1" ht="12.75" customHeight="1">
      <c r="A919" s="189">
        <f t="shared" si="66"/>
        <v>830</v>
      </c>
      <c r="B919" s="58">
        <v>854</v>
      </c>
      <c r="C919" s="83" t="s">
        <v>141</v>
      </c>
      <c r="D919" s="60"/>
      <c r="E919" s="61" t="e">
        <f>E920+#REF!+E943+E976+#REF!</f>
        <v>#REF!</v>
      </c>
      <c r="F919" s="60">
        <f>F920+F943+F1022+F1027+F1042</f>
        <v>337012</v>
      </c>
      <c r="G919" s="60" t="e">
        <f>G920+G943+G1027+G1042</f>
        <v>#REF!</v>
      </c>
      <c r="H919" s="60">
        <f>H920+H943+H1022+H1027+H1042</f>
        <v>261744.52</v>
      </c>
      <c r="I919" s="60">
        <f>I920+I943+I1022+I1027+I1042</f>
        <v>297238</v>
      </c>
      <c r="J919" s="213">
        <f aca="true" t="shared" si="70" ref="J919:J940">I919/H919</f>
        <v>1.1356035266755538</v>
      </c>
      <c r="K919" s="136">
        <f aca="true" t="shared" si="71" ref="K919:K940">I919/I$54</f>
        <v>0.008986618511499185</v>
      </c>
    </row>
    <row r="920" spans="1:11" ht="12.75">
      <c r="A920" s="189">
        <f t="shared" si="66"/>
        <v>831</v>
      </c>
      <c r="B920" s="10">
        <v>85401</v>
      </c>
      <c r="C920" s="70" t="s">
        <v>142</v>
      </c>
      <c r="D920" s="26"/>
      <c r="E920" s="46">
        <f>E921+E925+E929+E933+E937</f>
        <v>120000</v>
      </c>
      <c r="F920" s="27">
        <f>F921+F925+F929++F933+++F937</f>
        <v>128178</v>
      </c>
      <c r="G920" s="27" t="e">
        <f>G921+G925+G929+G933+#REF!++G937</f>
        <v>#REF!</v>
      </c>
      <c r="H920" s="27">
        <f>H921+H925+H929++H933+++H937</f>
        <v>126076.78</v>
      </c>
      <c r="I920" s="27">
        <f>I921+I925+I929++I933+++I937</f>
        <v>156430</v>
      </c>
      <c r="J920" s="217">
        <f t="shared" si="70"/>
        <v>1.240751865648853</v>
      </c>
      <c r="K920" s="139">
        <f t="shared" si="71"/>
        <v>0.004729465054110906</v>
      </c>
    </row>
    <row r="921" spans="1:11" ht="12.75">
      <c r="A921" s="189">
        <f t="shared" si="66"/>
        <v>832</v>
      </c>
      <c r="B921" s="4">
        <v>4010</v>
      </c>
      <c r="C921" s="84" t="s">
        <v>30</v>
      </c>
      <c r="D921" s="26"/>
      <c r="E921" s="49">
        <f>SUM(E923:E924)</f>
        <v>88000</v>
      </c>
      <c r="F921" s="24">
        <f>SUM(F923:F924)</f>
        <v>94093</v>
      </c>
      <c r="G921" s="24">
        <f>SUM(G923:G924)</f>
        <v>-3300</v>
      </c>
      <c r="H921" s="24">
        <f>SUM(H923:H924)</f>
        <v>94093</v>
      </c>
      <c r="I921" s="24">
        <f>SUM(I923:I924)</f>
        <v>118800</v>
      </c>
      <c r="J921" s="106">
        <f t="shared" si="70"/>
        <v>1.262580638304656</v>
      </c>
      <c r="K921" s="133">
        <f t="shared" si="71"/>
        <v>0.00359176915187864</v>
      </c>
    </row>
    <row r="922" spans="1:11" ht="12.75">
      <c r="A922" s="189">
        <f t="shared" si="66"/>
        <v>833</v>
      </c>
      <c r="B922" s="4"/>
      <c r="C922" s="84" t="s">
        <v>16</v>
      </c>
      <c r="D922" s="26"/>
      <c r="E922" s="48"/>
      <c r="F922" s="161"/>
      <c r="G922" s="161"/>
      <c r="H922" s="161"/>
      <c r="I922" s="161"/>
      <c r="J922" s="106"/>
      <c r="K922" s="133"/>
    </row>
    <row r="923" spans="1:11" ht="12.75">
      <c r="A923" s="189">
        <f t="shared" si="66"/>
        <v>834</v>
      </c>
      <c r="B923" s="4"/>
      <c r="C923" s="84" t="s">
        <v>175</v>
      </c>
      <c r="D923" s="26"/>
      <c r="E923" s="48">
        <f>42800-4800</f>
        <v>38000</v>
      </c>
      <c r="F923" s="161">
        <v>37893</v>
      </c>
      <c r="G923" s="161">
        <v>-3300</v>
      </c>
      <c r="H923" s="161">
        <v>37893</v>
      </c>
      <c r="I923" s="161">
        <v>41800</v>
      </c>
      <c r="J923" s="106">
        <f t="shared" si="70"/>
        <v>1.1031061145858074</v>
      </c>
      <c r="K923" s="133">
        <f t="shared" si="71"/>
        <v>0.0012637706275128548</v>
      </c>
    </row>
    <row r="924" spans="1:11" ht="12.75">
      <c r="A924" s="189">
        <f t="shared" si="66"/>
        <v>835</v>
      </c>
      <c r="B924" s="4"/>
      <c r="C924" s="84" t="s">
        <v>52</v>
      </c>
      <c r="D924" s="26"/>
      <c r="E924" s="48">
        <v>50000</v>
      </c>
      <c r="F924" s="161">
        <v>56200</v>
      </c>
      <c r="G924" s="161">
        <v>0</v>
      </c>
      <c r="H924" s="161">
        <v>56200</v>
      </c>
      <c r="I924" s="161">
        <v>77000</v>
      </c>
      <c r="J924" s="106">
        <f t="shared" si="70"/>
        <v>1.3701067615658362</v>
      </c>
      <c r="K924" s="133">
        <f t="shared" si="71"/>
        <v>0.002327998524365785</v>
      </c>
    </row>
    <row r="925" spans="1:11" ht="12.75">
      <c r="A925" s="189">
        <f t="shared" si="66"/>
        <v>836</v>
      </c>
      <c r="B925" s="4">
        <v>4040</v>
      </c>
      <c r="C925" s="84" t="s">
        <v>31</v>
      </c>
      <c r="D925" s="26"/>
      <c r="E925" s="49">
        <f>SUM(E927:E928)</f>
        <v>6900</v>
      </c>
      <c r="F925" s="24">
        <f>SUM(F927:F928)</f>
        <v>7410</v>
      </c>
      <c r="G925" s="24">
        <f>SUM(G927:G928)</f>
        <v>0</v>
      </c>
      <c r="H925" s="24">
        <f>SUM(H927:H928)</f>
        <v>5308.780000000001</v>
      </c>
      <c r="I925" s="24">
        <f>SUM(I927:I928)</f>
        <v>7550</v>
      </c>
      <c r="J925" s="106">
        <f t="shared" si="70"/>
        <v>1.4221723258451093</v>
      </c>
      <c r="K925" s="133">
        <f t="shared" si="71"/>
        <v>0.0002282647903761257</v>
      </c>
    </row>
    <row r="926" spans="1:11" ht="12.75">
      <c r="A926" s="189">
        <f t="shared" si="66"/>
        <v>837</v>
      </c>
      <c r="B926" s="4"/>
      <c r="C926" s="84" t="s">
        <v>16</v>
      </c>
      <c r="D926" s="26"/>
      <c r="E926" s="48"/>
      <c r="F926" s="161"/>
      <c r="G926" s="161"/>
      <c r="H926" s="161"/>
      <c r="I926" s="161"/>
      <c r="J926" s="106"/>
      <c r="K926" s="133"/>
    </row>
    <row r="927" spans="1:11" ht="12.75">
      <c r="A927" s="189">
        <f t="shared" si="66"/>
        <v>838</v>
      </c>
      <c r="B927" s="4"/>
      <c r="C927" s="84" t="s">
        <v>175</v>
      </c>
      <c r="D927" s="26"/>
      <c r="E927" s="48">
        <v>3300</v>
      </c>
      <c r="F927" s="161">
        <v>2510</v>
      </c>
      <c r="G927" s="161">
        <v>0</v>
      </c>
      <c r="H927" s="161">
        <v>2509.88</v>
      </c>
      <c r="I927" s="161">
        <v>2850</v>
      </c>
      <c r="J927" s="106">
        <f t="shared" si="70"/>
        <v>1.1355124547787145</v>
      </c>
      <c r="K927" s="133">
        <f t="shared" si="71"/>
        <v>8.616617914860374E-05</v>
      </c>
    </row>
    <row r="928" spans="1:11" ht="12.75">
      <c r="A928" s="189">
        <f t="shared" si="66"/>
        <v>839</v>
      </c>
      <c r="B928" s="4"/>
      <c r="C928" s="84" t="s">
        <v>52</v>
      </c>
      <c r="D928" s="26"/>
      <c r="E928" s="48">
        <v>3600</v>
      </c>
      <c r="F928" s="161">
        <v>4900</v>
      </c>
      <c r="G928" s="161">
        <v>0</v>
      </c>
      <c r="H928" s="161">
        <v>2798.9</v>
      </c>
      <c r="I928" s="161">
        <v>4700</v>
      </c>
      <c r="J928" s="106">
        <f t="shared" si="70"/>
        <v>1.6792311265139876</v>
      </c>
      <c r="K928" s="133">
        <f t="shared" si="71"/>
        <v>0.00014209861122752195</v>
      </c>
    </row>
    <row r="929" spans="1:11" ht="12.75">
      <c r="A929" s="189">
        <f t="shared" si="66"/>
        <v>840</v>
      </c>
      <c r="B929" s="4">
        <v>4110</v>
      </c>
      <c r="C929" s="84" t="s">
        <v>35</v>
      </c>
      <c r="D929" s="26"/>
      <c r="E929" s="49">
        <f>SUM(E931:E932)</f>
        <v>17000</v>
      </c>
      <c r="F929" s="24">
        <f>SUM(F931:F932)</f>
        <v>18282</v>
      </c>
      <c r="G929" s="24">
        <f>SUM(G931:G932)</f>
        <v>-600</v>
      </c>
      <c r="H929" s="24">
        <f>SUM(H931:H932)</f>
        <v>18282</v>
      </c>
      <c r="I929" s="24">
        <f>SUM(I931:I932)</f>
        <v>21200</v>
      </c>
      <c r="J929" s="106">
        <f t="shared" si="70"/>
        <v>1.1596105458921344</v>
      </c>
      <c r="K929" s="133">
        <f t="shared" si="71"/>
        <v>0.000640955437877333</v>
      </c>
    </row>
    <row r="930" spans="1:11" ht="12.75">
      <c r="A930" s="189">
        <f t="shared" si="66"/>
        <v>841</v>
      </c>
      <c r="B930" s="4"/>
      <c r="C930" s="84" t="s">
        <v>16</v>
      </c>
      <c r="D930" s="26"/>
      <c r="E930" s="48"/>
      <c r="F930" s="161"/>
      <c r="G930" s="161"/>
      <c r="H930" s="161"/>
      <c r="I930" s="161"/>
      <c r="J930" s="106"/>
      <c r="K930" s="133"/>
    </row>
    <row r="931" spans="1:11" ht="12.75">
      <c r="A931" s="189">
        <f t="shared" si="66"/>
        <v>842</v>
      </c>
      <c r="B931" s="4"/>
      <c r="C931" s="84" t="s">
        <v>175</v>
      </c>
      <c r="D931" s="26"/>
      <c r="E931" s="48">
        <v>7400</v>
      </c>
      <c r="F931" s="161">
        <v>7322</v>
      </c>
      <c r="G931" s="161">
        <v>-600</v>
      </c>
      <c r="H931" s="161">
        <v>7322</v>
      </c>
      <c r="I931" s="161">
        <v>7700</v>
      </c>
      <c r="J931" s="106">
        <f t="shared" si="70"/>
        <v>1.0516252390057361</v>
      </c>
      <c r="K931" s="133">
        <f t="shared" si="71"/>
        <v>0.00023279985243657852</v>
      </c>
    </row>
    <row r="932" spans="1:11" ht="12.75">
      <c r="A932" s="189">
        <f t="shared" si="66"/>
        <v>843</v>
      </c>
      <c r="B932" s="4"/>
      <c r="C932" s="84" t="s">
        <v>52</v>
      </c>
      <c r="D932" s="26"/>
      <c r="E932" s="48">
        <v>9600</v>
      </c>
      <c r="F932" s="161">
        <v>10960</v>
      </c>
      <c r="G932" s="161">
        <v>0</v>
      </c>
      <c r="H932" s="161">
        <v>10960</v>
      </c>
      <c r="I932" s="161">
        <v>13500</v>
      </c>
      <c r="J932" s="106">
        <f t="shared" si="70"/>
        <v>1.2317518248175183</v>
      </c>
      <c r="K932" s="133">
        <f t="shared" si="71"/>
        <v>0.0004081555854407546</v>
      </c>
    </row>
    <row r="933" spans="1:11" ht="12.75">
      <c r="A933" s="189">
        <f>A932+1</f>
        <v>844</v>
      </c>
      <c r="B933" s="4">
        <v>4120</v>
      </c>
      <c r="C933" s="84" t="s">
        <v>36</v>
      </c>
      <c r="D933" s="26"/>
      <c r="E933" s="49">
        <f>SUM(E935:E936)</f>
        <v>2300</v>
      </c>
      <c r="F933" s="24">
        <f>SUM(F935:F936)</f>
        <v>2473</v>
      </c>
      <c r="G933" s="24">
        <f>SUM(G935:G936)</f>
        <v>-100</v>
      </c>
      <c r="H933" s="24">
        <f>SUM(H935:H936)</f>
        <v>2473</v>
      </c>
      <c r="I933" s="24">
        <f>SUM(I935:I936)</f>
        <v>2900</v>
      </c>
      <c r="J933" s="106">
        <f t="shared" si="70"/>
        <v>1.1726647796198948</v>
      </c>
      <c r="K933" s="133">
        <f t="shared" si="71"/>
        <v>8.767786650208801E-05</v>
      </c>
    </row>
    <row r="934" spans="1:11" ht="12.75">
      <c r="A934" s="189">
        <f t="shared" si="66"/>
        <v>845</v>
      </c>
      <c r="B934" s="4"/>
      <c r="C934" s="84" t="s">
        <v>16</v>
      </c>
      <c r="D934" s="26"/>
      <c r="E934" s="48"/>
      <c r="F934" s="161"/>
      <c r="G934" s="161"/>
      <c r="H934" s="161"/>
      <c r="I934" s="161"/>
      <c r="J934" s="106"/>
      <c r="K934" s="133"/>
    </row>
    <row r="935" spans="1:11" ht="12.75">
      <c r="A935" s="189">
        <f t="shared" si="66"/>
        <v>846</v>
      </c>
      <c r="B935" s="4"/>
      <c r="C935" s="84" t="s">
        <v>175</v>
      </c>
      <c r="D935" s="26"/>
      <c r="E935" s="48">
        <v>1000</v>
      </c>
      <c r="F935" s="161">
        <v>993</v>
      </c>
      <c r="G935" s="161">
        <v>-100</v>
      </c>
      <c r="H935" s="161">
        <v>993</v>
      </c>
      <c r="I935" s="161">
        <v>1100</v>
      </c>
      <c r="J935" s="106">
        <f t="shared" si="70"/>
        <v>1.107754279959718</v>
      </c>
      <c r="K935" s="133">
        <f t="shared" si="71"/>
        <v>3.325712177665407E-05</v>
      </c>
    </row>
    <row r="936" spans="1:11" ht="12.75">
      <c r="A936" s="189">
        <f t="shared" si="66"/>
        <v>847</v>
      </c>
      <c r="B936" s="4"/>
      <c r="C936" s="84" t="s">
        <v>52</v>
      </c>
      <c r="D936" s="26"/>
      <c r="E936" s="48">
        <v>1300</v>
      </c>
      <c r="F936" s="161">
        <v>1480</v>
      </c>
      <c r="G936" s="161">
        <v>0</v>
      </c>
      <c r="H936" s="161">
        <v>1480</v>
      </c>
      <c r="I936" s="161">
        <v>1800</v>
      </c>
      <c r="J936" s="106">
        <f t="shared" si="70"/>
        <v>1.2162162162162162</v>
      </c>
      <c r="K936" s="133">
        <f t="shared" si="71"/>
        <v>5.442074472543394E-05</v>
      </c>
    </row>
    <row r="937" spans="1:11" ht="12.75">
      <c r="A937" s="189">
        <f t="shared" si="66"/>
        <v>848</v>
      </c>
      <c r="B937" s="4">
        <v>4440</v>
      </c>
      <c r="C937" s="84" t="s">
        <v>53</v>
      </c>
      <c r="D937" s="26"/>
      <c r="E937" s="49">
        <f>SUM(E939:E940)</f>
        <v>5800</v>
      </c>
      <c r="F937" s="24">
        <f>SUM(F939:F940)</f>
        <v>5920</v>
      </c>
      <c r="G937" s="24">
        <f>SUM(G939:G940)</f>
        <v>0</v>
      </c>
      <c r="H937" s="24">
        <f>SUM(H939:H940)</f>
        <v>5920</v>
      </c>
      <c r="I937" s="24">
        <f>SUM(I939:I940)</f>
        <v>5980</v>
      </c>
      <c r="J937" s="106">
        <f t="shared" si="70"/>
        <v>1.010135135135135</v>
      </c>
      <c r="K937" s="133">
        <f t="shared" si="71"/>
        <v>0.00018079780747671942</v>
      </c>
    </row>
    <row r="938" spans="1:11" ht="12.75">
      <c r="A938" s="189">
        <f t="shared" si="66"/>
        <v>849</v>
      </c>
      <c r="B938" s="4"/>
      <c r="C938" s="84" t="s">
        <v>16</v>
      </c>
      <c r="D938" s="26"/>
      <c r="E938" s="48"/>
      <c r="F938" s="161"/>
      <c r="G938" s="161"/>
      <c r="H938" s="161"/>
      <c r="I938" s="161"/>
      <c r="J938" s="106"/>
      <c r="K938" s="133"/>
    </row>
    <row r="939" spans="1:11" ht="12.75">
      <c r="A939" s="189">
        <f t="shared" si="66"/>
        <v>850</v>
      </c>
      <c r="B939" s="4"/>
      <c r="C939" s="84" t="s">
        <v>175</v>
      </c>
      <c r="D939" s="26"/>
      <c r="E939" s="48">
        <v>2500</v>
      </c>
      <c r="F939" s="161">
        <v>1980</v>
      </c>
      <c r="G939" s="161">
        <v>0</v>
      </c>
      <c r="H939" s="161">
        <v>1980</v>
      </c>
      <c r="I939" s="161">
        <v>1980</v>
      </c>
      <c r="J939" s="106">
        <f t="shared" si="70"/>
        <v>1</v>
      </c>
      <c r="K939" s="133">
        <f t="shared" si="71"/>
        <v>5.9862819197977333E-05</v>
      </c>
    </row>
    <row r="940" spans="1:11" ht="12.75">
      <c r="A940" s="189">
        <f t="shared" si="66"/>
        <v>851</v>
      </c>
      <c r="B940" s="4"/>
      <c r="C940" s="84" t="s">
        <v>52</v>
      </c>
      <c r="D940" s="26"/>
      <c r="E940" s="48">
        <v>3300</v>
      </c>
      <c r="F940" s="161">
        <v>3940</v>
      </c>
      <c r="G940" s="161">
        <v>0</v>
      </c>
      <c r="H940" s="161">
        <v>3940</v>
      </c>
      <c r="I940" s="161">
        <v>4000</v>
      </c>
      <c r="J940" s="106">
        <f t="shared" si="70"/>
        <v>1.015228426395939</v>
      </c>
      <c r="K940" s="133">
        <f t="shared" si="71"/>
        <v>0.00012093498827874209</v>
      </c>
    </row>
    <row r="941" spans="1:11" s="30" customFormat="1" ht="12.75">
      <c r="A941" s="189">
        <f t="shared" si="66"/>
        <v>852</v>
      </c>
      <c r="B941" s="11">
        <v>85412</v>
      </c>
      <c r="C941" s="70" t="s">
        <v>143</v>
      </c>
      <c r="D941" s="27"/>
      <c r="E941" s="46"/>
      <c r="F941" s="180"/>
      <c r="G941" s="27"/>
      <c r="H941" s="27"/>
      <c r="I941" s="180"/>
      <c r="J941" s="106"/>
      <c r="K941" s="133"/>
    </row>
    <row r="942" spans="1:11" s="30" customFormat="1" ht="12.75">
      <c r="A942" s="189">
        <f t="shared" si="66"/>
        <v>853</v>
      </c>
      <c r="B942" s="11"/>
      <c r="C942" s="70" t="s">
        <v>144</v>
      </c>
      <c r="D942" s="27"/>
      <c r="E942" s="46"/>
      <c r="F942" s="180"/>
      <c r="G942" s="27"/>
      <c r="H942" s="27"/>
      <c r="I942" s="180"/>
      <c r="J942" s="106"/>
      <c r="K942" s="133"/>
    </row>
    <row r="943" spans="1:11" s="30" customFormat="1" ht="12.75">
      <c r="A943" s="189">
        <f t="shared" si="66"/>
        <v>854</v>
      </c>
      <c r="B943" s="11"/>
      <c r="C943" s="70" t="s">
        <v>287</v>
      </c>
      <c r="D943" s="27"/>
      <c r="E943" s="46" t="e">
        <f>#REF!+E947+E951+E961+E966+#REF!+E971+#REF!</f>
        <v>#REF!</v>
      </c>
      <c r="F943" s="27">
        <f>F946+F947+F951++F955+F961+F966+F971</f>
        <v>56553</v>
      </c>
      <c r="G943" s="27" t="e">
        <f>#REF!+G947+G951+G961+#REF!+G966+#REF!+G971+#REF!</f>
        <v>#REF!</v>
      </c>
      <c r="H943" s="27">
        <f>H946+H947+H951++H955+H961+H966+H971</f>
        <v>56527.74</v>
      </c>
      <c r="I943" s="27">
        <f>I946+I947+I951++I955+I961+I966+I971</f>
        <v>7500</v>
      </c>
      <c r="J943" s="217">
        <f>I943/H943</f>
        <v>0.1326782213476074</v>
      </c>
      <c r="K943" s="139">
        <f>I943/I$54</f>
        <v>0.00022675310302264142</v>
      </c>
    </row>
    <row r="944" spans="1:11" s="62" customFormat="1" ht="12.75">
      <c r="A944" s="189">
        <f t="shared" si="66"/>
        <v>855</v>
      </c>
      <c r="B944" s="90">
        <v>4010</v>
      </c>
      <c r="C944" s="84" t="s">
        <v>30</v>
      </c>
      <c r="D944" s="89"/>
      <c r="E944" s="87"/>
      <c r="F944" s="89"/>
      <c r="G944" s="89"/>
      <c r="H944" s="89"/>
      <c r="I944" s="89"/>
      <c r="J944" s="106"/>
      <c r="K944" s="133"/>
    </row>
    <row r="945" spans="1:11" s="30" customFormat="1" ht="12.75">
      <c r="A945" s="189">
        <f t="shared" si="66"/>
        <v>856</v>
      </c>
      <c r="B945" s="11"/>
      <c r="C945" s="84" t="s">
        <v>16</v>
      </c>
      <c r="D945" s="27"/>
      <c r="E945" s="46"/>
      <c r="F945" s="89"/>
      <c r="G945" s="89"/>
      <c r="H945" s="89"/>
      <c r="I945" s="89"/>
      <c r="J945" s="106"/>
      <c r="K945" s="133"/>
    </row>
    <row r="946" spans="1:11" s="30" customFormat="1" ht="12.75">
      <c r="A946" s="189">
        <f t="shared" si="66"/>
        <v>857</v>
      </c>
      <c r="B946" s="11"/>
      <c r="C946" s="84" t="s">
        <v>52</v>
      </c>
      <c r="D946" s="27"/>
      <c r="E946" s="46"/>
      <c r="F946" s="89">
        <v>4591</v>
      </c>
      <c r="G946" s="89"/>
      <c r="H946" s="89">
        <v>4591</v>
      </c>
      <c r="I946" s="89">
        <v>0</v>
      </c>
      <c r="J946" s="106"/>
      <c r="K946" s="133">
        <f aca="true" t="shared" si="72" ref="K946:K974">I946/I$54</f>
        <v>0</v>
      </c>
    </row>
    <row r="947" spans="1:11" s="30" customFormat="1" ht="12.75">
      <c r="A947" s="189">
        <f t="shared" si="66"/>
        <v>858</v>
      </c>
      <c r="B947" s="4">
        <v>4110</v>
      </c>
      <c r="C947" s="84" t="s">
        <v>35</v>
      </c>
      <c r="D947" s="27"/>
      <c r="E947" s="87">
        <f>E949</f>
        <v>1500</v>
      </c>
      <c r="F947" s="89">
        <f>SUM(F949:F950)</f>
        <v>802</v>
      </c>
      <c r="G947" s="89">
        <f>SUM(G949:G950)</f>
        <v>-800</v>
      </c>
      <c r="H947" s="89">
        <f>SUM(H949:H950)</f>
        <v>801.46</v>
      </c>
      <c r="I947" s="89">
        <f>SUM(I949:I950)</f>
        <v>0</v>
      </c>
      <c r="J947" s="106"/>
      <c r="K947" s="133">
        <f t="shared" si="72"/>
        <v>0</v>
      </c>
    </row>
    <row r="948" spans="1:11" s="30" customFormat="1" ht="12.75">
      <c r="A948" s="189">
        <f t="shared" si="66"/>
        <v>859</v>
      </c>
      <c r="B948" s="4"/>
      <c r="C948" s="84" t="s">
        <v>16</v>
      </c>
      <c r="D948" s="27"/>
      <c r="E948" s="87"/>
      <c r="F948" s="170"/>
      <c r="G948" s="170"/>
      <c r="H948" s="170"/>
      <c r="I948" s="170"/>
      <c r="J948" s="106"/>
      <c r="K948" s="133"/>
    </row>
    <row r="949" spans="1:11" s="30" customFormat="1" ht="12.75">
      <c r="A949" s="189">
        <f t="shared" si="66"/>
        <v>860</v>
      </c>
      <c r="B949" s="4"/>
      <c r="C949" s="84" t="s">
        <v>176</v>
      </c>
      <c r="D949" s="27"/>
      <c r="E949" s="87">
        <v>1500</v>
      </c>
      <c r="F949" s="170">
        <v>0</v>
      </c>
      <c r="G949" s="170">
        <v>-800</v>
      </c>
      <c r="H949" s="170">
        <v>0</v>
      </c>
      <c r="I949" s="170">
        <v>0</v>
      </c>
      <c r="J949" s="106"/>
      <c r="K949" s="133">
        <f t="shared" si="72"/>
        <v>0</v>
      </c>
    </row>
    <row r="950" spans="1:11" s="30" customFormat="1" ht="12.75">
      <c r="A950" s="189">
        <f t="shared" si="66"/>
        <v>861</v>
      </c>
      <c r="B950" s="4"/>
      <c r="C950" s="84" t="s">
        <v>52</v>
      </c>
      <c r="D950" s="27"/>
      <c r="E950" s="87"/>
      <c r="F950" s="170">
        <v>802</v>
      </c>
      <c r="G950" s="170">
        <v>0</v>
      </c>
      <c r="H950" s="170">
        <v>801.46</v>
      </c>
      <c r="I950" s="170">
        <v>0</v>
      </c>
      <c r="J950" s="106"/>
      <c r="K950" s="133">
        <f t="shared" si="72"/>
        <v>0</v>
      </c>
    </row>
    <row r="951" spans="1:11" s="30" customFormat="1" ht="12.75">
      <c r="A951" s="189">
        <f t="shared" si="66"/>
        <v>862</v>
      </c>
      <c r="B951" s="4">
        <v>4120</v>
      </c>
      <c r="C951" s="84" t="s">
        <v>36</v>
      </c>
      <c r="D951" s="27"/>
      <c r="E951" s="87">
        <f>E953</f>
        <v>200</v>
      </c>
      <c r="F951" s="89">
        <f>SUM(F953:F954)</f>
        <v>113</v>
      </c>
      <c r="G951" s="89">
        <f>SUM(G953:G954)</f>
        <v>0</v>
      </c>
      <c r="H951" s="89">
        <f>SUM(H953:H954)</f>
        <v>112.46</v>
      </c>
      <c r="I951" s="89">
        <f>SUM(I953:I954)</f>
        <v>0</v>
      </c>
      <c r="J951" s="106"/>
      <c r="K951" s="133">
        <f t="shared" si="72"/>
        <v>0</v>
      </c>
    </row>
    <row r="952" spans="1:11" s="30" customFormat="1" ht="12.75">
      <c r="A952" s="189">
        <f t="shared" si="66"/>
        <v>863</v>
      </c>
      <c r="B952" s="4"/>
      <c r="C952" s="84" t="s">
        <v>16</v>
      </c>
      <c r="D952" s="27"/>
      <c r="E952" s="87"/>
      <c r="F952" s="170"/>
      <c r="G952" s="170"/>
      <c r="H952" s="170"/>
      <c r="I952" s="170"/>
      <c r="J952" s="106"/>
      <c r="K952" s="133"/>
    </row>
    <row r="953" spans="1:11" s="30" customFormat="1" ht="12.75">
      <c r="A953" s="189">
        <f t="shared" si="66"/>
        <v>864</v>
      </c>
      <c r="B953" s="4"/>
      <c r="C953" s="84" t="s">
        <v>176</v>
      </c>
      <c r="D953" s="27"/>
      <c r="E953" s="87">
        <v>200</v>
      </c>
      <c r="F953" s="170">
        <v>0</v>
      </c>
      <c r="G953" s="170">
        <v>0</v>
      </c>
      <c r="H953" s="170">
        <v>0</v>
      </c>
      <c r="I953" s="170">
        <v>0</v>
      </c>
      <c r="J953" s="106"/>
      <c r="K953" s="133">
        <f t="shared" si="72"/>
        <v>0</v>
      </c>
    </row>
    <row r="954" spans="1:11" s="30" customFormat="1" ht="12.75">
      <c r="A954" s="189">
        <f t="shared" si="66"/>
        <v>865</v>
      </c>
      <c r="B954" s="4"/>
      <c r="C954" s="84" t="s">
        <v>52</v>
      </c>
      <c r="D954" s="27"/>
      <c r="E954" s="87"/>
      <c r="F954" s="170">
        <v>113</v>
      </c>
      <c r="G954" s="170">
        <v>0</v>
      </c>
      <c r="H954" s="170">
        <v>112.46</v>
      </c>
      <c r="I954" s="170">
        <v>0</v>
      </c>
      <c r="J954" s="106"/>
      <c r="K954" s="133">
        <f t="shared" si="72"/>
        <v>0</v>
      </c>
    </row>
    <row r="955" spans="1:11" s="30" customFormat="1" ht="12.75">
      <c r="A955" s="189">
        <f t="shared" si="66"/>
        <v>866</v>
      </c>
      <c r="B955" s="4">
        <v>4170</v>
      </c>
      <c r="C955" s="84" t="s">
        <v>288</v>
      </c>
      <c r="D955" s="27"/>
      <c r="E955" s="87"/>
      <c r="F955" s="170">
        <f>SUM(F957:F958)</f>
        <v>4600</v>
      </c>
      <c r="G955" s="170"/>
      <c r="H955" s="170">
        <f>SUM(H957:H958)</f>
        <v>4600</v>
      </c>
      <c r="I955" s="170">
        <f>SUM(I957:I958)</f>
        <v>0</v>
      </c>
      <c r="J955" s="106"/>
      <c r="K955" s="133">
        <f t="shared" si="72"/>
        <v>0</v>
      </c>
    </row>
    <row r="956" spans="1:11" s="30" customFormat="1" ht="12.75">
      <c r="A956" s="189">
        <f t="shared" si="66"/>
        <v>867</v>
      </c>
      <c r="B956" s="4"/>
      <c r="C956" s="84" t="s">
        <v>16</v>
      </c>
      <c r="D956" s="27"/>
      <c r="E956" s="87"/>
      <c r="F956" s="170"/>
      <c r="G956" s="170"/>
      <c r="H956" s="170"/>
      <c r="I956" s="170"/>
      <c r="J956" s="106"/>
      <c r="K956" s="133"/>
    </row>
    <row r="957" spans="1:11" s="30" customFormat="1" ht="12.75">
      <c r="A957" s="189">
        <f t="shared" si="66"/>
        <v>868</v>
      </c>
      <c r="B957" s="4"/>
      <c r="C957" s="84" t="s">
        <v>176</v>
      </c>
      <c r="D957" s="27"/>
      <c r="E957" s="87"/>
      <c r="F957" s="170">
        <v>4600</v>
      </c>
      <c r="G957" s="170"/>
      <c r="H957" s="170">
        <v>4600</v>
      </c>
      <c r="I957" s="170">
        <v>0</v>
      </c>
      <c r="J957" s="106"/>
      <c r="K957" s="133">
        <f t="shared" si="72"/>
        <v>0</v>
      </c>
    </row>
    <row r="958" spans="1:11" s="30" customFormat="1" ht="12.75">
      <c r="A958" s="189">
        <f t="shared" si="66"/>
        <v>869</v>
      </c>
      <c r="B958" s="4"/>
      <c r="C958" s="84" t="s">
        <v>52</v>
      </c>
      <c r="D958" s="27"/>
      <c r="E958" s="87"/>
      <c r="F958" s="170">
        <v>0</v>
      </c>
      <c r="G958" s="170"/>
      <c r="H958" s="170">
        <v>0</v>
      </c>
      <c r="I958" s="170">
        <v>0</v>
      </c>
      <c r="J958" s="106"/>
      <c r="K958" s="133">
        <f t="shared" si="72"/>
        <v>0</v>
      </c>
    </row>
    <row r="959" spans="1:11" s="30" customFormat="1" ht="12.75">
      <c r="A959" s="189"/>
      <c r="B959" s="4"/>
      <c r="C959" s="84"/>
      <c r="D959" s="27"/>
      <c r="E959" s="87"/>
      <c r="F959" s="170"/>
      <c r="G959" s="170"/>
      <c r="H959" s="170"/>
      <c r="I959" s="170"/>
      <c r="J959" s="106"/>
      <c r="K959" s="133"/>
    </row>
    <row r="960" spans="1:11" s="30" customFormat="1" ht="12.75">
      <c r="A960" s="189"/>
      <c r="B960" s="4"/>
      <c r="C960" s="84"/>
      <c r="D960" s="27"/>
      <c r="E960" s="87"/>
      <c r="F960" s="170"/>
      <c r="G960" s="170"/>
      <c r="H960" s="170"/>
      <c r="I960" s="170"/>
      <c r="J960" s="106"/>
      <c r="K960" s="133"/>
    </row>
    <row r="961" spans="1:11" ht="12.75">
      <c r="A961" s="189">
        <f>A958+1</f>
        <v>870</v>
      </c>
      <c r="B961" s="4">
        <v>4210</v>
      </c>
      <c r="C961" s="84" t="s">
        <v>162</v>
      </c>
      <c r="D961" s="26"/>
      <c r="E961" s="47">
        <f>SUM(E963)</f>
        <v>2000</v>
      </c>
      <c r="F961" s="29">
        <f>SUM(F963:F965)</f>
        <v>20700</v>
      </c>
      <c r="G961" s="29">
        <f>SUM(G963:G964)</f>
        <v>0</v>
      </c>
      <c r="H961" s="29">
        <f>SUM(H963:H965)</f>
        <v>20700</v>
      </c>
      <c r="I961" s="29">
        <f>SUM(I963:I965)</f>
        <v>1200</v>
      </c>
      <c r="J961" s="106">
        <f>I961/H961</f>
        <v>0.057971014492753624</v>
      </c>
      <c r="K961" s="133">
        <f t="shared" si="72"/>
        <v>3.6280496483622625E-05</v>
      </c>
    </row>
    <row r="962" spans="1:11" ht="12.75">
      <c r="A962" s="189">
        <f t="shared" si="66"/>
        <v>871</v>
      </c>
      <c r="B962" s="4"/>
      <c r="C962" s="84" t="s">
        <v>16</v>
      </c>
      <c r="D962" s="26"/>
      <c r="E962" s="48"/>
      <c r="F962" s="161"/>
      <c r="G962" s="161"/>
      <c r="H962" s="161"/>
      <c r="I962" s="161"/>
      <c r="J962" s="106"/>
      <c r="K962" s="133"/>
    </row>
    <row r="963" spans="1:11" ht="12.75">
      <c r="A963" s="189">
        <f aca="true" t="shared" si="73" ref="A963:A1026">A962+1</f>
        <v>872</v>
      </c>
      <c r="B963" s="4"/>
      <c r="C963" s="84" t="s">
        <v>175</v>
      </c>
      <c r="D963" s="26"/>
      <c r="E963" s="48">
        <f>52000-30000-20000</f>
        <v>2000</v>
      </c>
      <c r="F963" s="161">
        <v>18000</v>
      </c>
      <c r="G963" s="161"/>
      <c r="H963" s="161">
        <v>18000</v>
      </c>
      <c r="I963" s="161">
        <v>0</v>
      </c>
      <c r="J963" s="106"/>
      <c r="K963" s="133">
        <f t="shared" si="72"/>
        <v>0</v>
      </c>
    </row>
    <row r="964" spans="1:11" ht="12.75">
      <c r="A964" s="189">
        <f t="shared" si="73"/>
        <v>873</v>
      </c>
      <c r="B964" s="4"/>
      <c r="C964" s="84" t="s">
        <v>176</v>
      </c>
      <c r="D964" s="26"/>
      <c r="E964" s="48"/>
      <c r="F964" s="161">
        <v>1500</v>
      </c>
      <c r="G964" s="161"/>
      <c r="H964" s="161">
        <v>1500</v>
      </c>
      <c r="I964" s="161">
        <v>0</v>
      </c>
      <c r="J964" s="106"/>
      <c r="K964" s="133">
        <f t="shared" si="72"/>
        <v>0</v>
      </c>
    </row>
    <row r="965" spans="1:11" ht="12.75">
      <c r="A965" s="189">
        <f t="shared" si="73"/>
        <v>874</v>
      </c>
      <c r="B965" s="4"/>
      <c r="C965" s="84" t="s">
        <v>52</v>
      </c>
      <c r="D965" s="26"/>
      <c r="E965" s="48"/>
      <c r="F965" s="161">
        <f>1000+200</f>
        <v>1200</v>
      </c>
      <c r="G965" s="161"/>
      <c r="H965" s="161">
        <v>1200</v>
      </c>
      <c r="I965" s="161">
        <v>1200</v>
      </c>
      <c r="J965" s="106">
        <f>I965/H965</f>
        <v>1</v>
      </c>
      <c r="K965" s="133">
        <f t="shared" si="72"/>
        <v>3.6280496483622625E-05</v>
      </c>
    </row>
    <row r="966" spans="1:11" ht="12.75">
      <c r="A966" s="189">
        <f>A965+1</f>
        <v>875</v>
      </c>
      <c r="B966" s="4">
        <v>4260</v>
      </c>
      <c r="C966" s="84" t="s">
        <v>165</v>
      </c>
      <c r="D966" s="26"/>
      <c r="E966" s="49">
        <f>SUM(E968)</f>
        <v>9500</v>
      </c>
      <c r="F966" s="24">
        <f>SUM(F968:F970)</f>
        <v>21938</v>
      </c>
      <c r="G966" s="24">
        <f>SUM(G968:G970)</f>
        <v>0</v>
      </c>
      <c r="H966" s="24">
        <f>SUM(H968:H970)</f>
        <v>21937.510000000002</v>
      </c>
      <c r="I966" s="24">
        <f>SUM(I968:I970)</f>
        <v>4800</v>
      </c>
      <c r="J966" s="106">
        <f>I966/H966</f>
        <v>0.21880331906401407</v>
      </c>
      <c r="K966" s="133">
        <f t="shared" si="72"/>
        <v>0.0001451219859344905</v>
      </c>
    </row>
    <row r="967" spans="1:11" ht="12.75">
      <c r="A967" s="189">
        <f t="shared" si="73"/>
        <v>876</v>
      </c>
      <c r="B967" s="4"/>
      <c r="C967" s="84" t="s">
        <v>16</v>
      </c>
      <c r="D967" s="26"/>
      <c r="E967" s="48"/>
      <c r="F967" s="161"/>
      <c r="G967" s="161"/>
      <c r="H967" s="161"/>
      <c r="I967" s="161"/>
      <c r="J967" s="106"/>
      <c r="K967" s="133"/>
    </row>
    <row r="968" spans="1:11" ht="12.75">
      <c r="A968" s="189">
        <f t="shared" si="73"/>
        <v>877</v>
      </c>
      <c r="B968" s="4"/>
      <c r="C968" s="84" t="s">
        <v>175</v>
      </c>
      <c r="D968" s="26"/>
      <c r="E968" s="48">
        <v>9500</v>
      </c>
      <c r="F968" s="161">
        <v>13438</v>
      </c>
      <c r="G968" s="161"/>
      <c r="H968" s="161">
        <v>13437.51</v>
      </c>
      <c r="I968" s="161">
        <v>0</v>
      </c>
      <c r="J968" s="106"/>
      <c r="K968" s="133">
        <f t="shared" si="72"/>
        <v>0</v>
      </c>
    </row>
    <row r="969" spans="1:11" ht="12.75">
      <c r="A969" s="189">
        <f t="shared" si="73"/>
        <v>878</v>
      </c>
      <c r="B969" s="4"/>
      <c r="C969" s="84" t="s">
        <v>176</v>
      </c>
      <c r="D969" s="26"/>
      <c r="E969" s="48"/>
      <c r="F969" s="161">
        <v>2900</v>
      </c>
      <c r="G969" s="161"/>
      <c r="H969" s="161">
        <v>2900</v>
      </c>
      <c r="I969" s="161">
        <v>0</v>
      </c>
      <c r="J969" s="106"/>
      <c r="K969" s="133">
        <f t="shared" si="72"/>
        <v>0</v>
      </c>
    </row>
    <row r="970" spans="1:11" ht="12.75">
      <c r="A970" s="189">
        <f t="shared" si="73"/>
        <v>879</v>
      </c>
      <c r="B970" s="4"/>
      <c r="C970" s="84" t="s">
        <v>52</v>
      </c>
      <c r="D970" s="26"/>
      <c r="E970" s="48"/>
      <c r="F970" s="161">
        <f>4000+1600</f>
        <v>5600</v>
      </c>
      <c r="G970" s="161"/>
      <c r="H970" s="161">
        <v>5600</v>
      </c>
      <c r="I970" s="161">
        <v>4800</v>
      </c>
      <c r="J970" s="106">
        <f>I970/H970</f>
        <v>0.8571428571428571</v>
      </c>
      <c r="K970" s="133">
        <f t="shared" si="72"/>
        <v>0.0001451219859344905</v>
      </c>
    </row>
    <row r="971" spans="1:11" ht="12.75">
      <c r="A971" s="189">
        <f t="shared" si="73"/>
        <v>880</v>
      </c>
      <c r="B971" s="4">
        <v>4300</v>
      </c>
      <c r="C971" s="84" t="s">
        <v>173</v>
      </c>
      <c r="D971" s="26"/>
      <c r="E971" s="47">
        <f>SUM(E973:E974)</f>
        <v>8000</v>
      </c>
      <c r="F971" s="29">
        <f>SUM(F973:F975)</f>
        <v>3809</v>
      </c>
      <c r="G971" s="29">
        <f>SUM(G973:G975)</f>
        <v>-2200.91</v>
      </c>
      <c r="H971" s="29">
        <f>SUM(H973:H975)</f>
        <v>3785.3100000000004</v>
      </c>
      <c r="I971" s="29">
        <f>SUM(I973:I975)</f>
        <v>1500</v>
      </c>
      <c r="J971" s="106">
        <f>I971/H971</f>
        <v>0.3962687336043811</v>
      </c>
      <c r="K971" s="133">
        <f t="shared" si="72"/>
        <v>4.535062060452828E-05</v>
      </c>
    </row>
    <row r="972" spans="1:11" ht="12.75">
      <c r="A972" s="189">
        <f t="shared" si="73"/>
        <v>881</v>
      </c>
      <c r="B972" s="4"/>
      <c r="C972" s="84" t="s">
        <v>16</v>
      </c>
      <c r="D972" s="26"/>
      <c r="E972" s="48"/>
      <c r="F972" s="161"/>
      <c r="G972" s="161"/>
      <c r="H972" s="161"/>
      <c r="I972" s="161"/>
      <c r="J972" s="106"/>
      <c r="K972" s="133"/>
    </row>
    <row r="973" spans="1:11" ht="12.75">
      <c r="A973" s="189">
        <f t="shared" si="73"/>
        <v>882</v>
      </c>
      <c r="B973" s="4"/>
      <c r="C973" s="84" t="s">
        <v>175</v>
      </c>
      <c r="D973" s="26"/>
      <c r="E973" s="48">
        <v>8000</v>
      </c>
      <c r="F973" s="161">
        <v>309</v>
      </c>
      <c r="G973" s="161">
        <f>H973-F973</f>
        <v>-0.910000000000025</v>
      </c>
      <c r="H973" s="161">
        <v>308.09</v>
      </c>
      <c r="I973" s="161">
        <v>0</v>
      </c>
      <c r="J973" s="106"/>
      <c r="K973" s="133">
        <f t="shared" si="72"/>
        <v>0</v>
      </c>
    </row>
    <row r="974" spans="1:11" ht="12.75">
      <c r="A974" s="189">
        <f t="shared" si="73"/>
        <v>883</v>
      </c>
      <c r="B974" s="4"/>
      <c r="C974" s="84" t="s">
        <v>176</v>
      </c>
      <c r="D974" s="26"/>
      <c r="E974" s="48">
        <v>0</v>
      </c>
      <c r="F974" s="161">
        <v>2000</v>
      </c>
      <c r="G974" s="161">
        <v>-2200</v>
      </c>
      <c r="H974" s="161">
        <v>2000</v>
      </c>
      <c r="I974" s="161">
        <v>0</v>
      </c>
      <c r="J974" s="106"/>
      <c r="K974" s="133">
        <f t="shared" si="72"/>
        <v>0</v>
      </c>
    </row>
    <row r="975" spans="1:11" ht="12.75">
      <c r="A975" s="189">
        <f t="shared" si="73"/>
        <v>884</v>
      </c>
      <c r="B975" s="4"/>
      <c r="C975" s="84" t="s">
        <v>52</v>
      </c>
      <c r="D975" s="26"/>
      <c r="E975" s="48"/>
      <c r="F975" s="161">
        <v>1500</v>
      </c>
      <c r="G975" s="161"/>
      <c r="H975" s="161">
        <v>1477.22</v>
      </c>
      <c r="I975" s="161">
        <v>1500</v>
      </c>
      <c r="J975" s="106">
        <f>I975/H975</f>
        <v>1.0154208580983197</v>
      </c>
      <c r="K975" s="133">
        <f>I975/I$54</f>
        <v>4.535062060452828E-05</v>
      </c>
    </row>
    <row r="976" spans="1:11" s="75" customFormat="1" ht="12.75" hidden="1">
      <c r="A976" s="189">
        <f t="shared" si="73"/>
        <v>885</v>
      </c>
      <c r="B976" s="64">
        <v>85414</v>
      </c>
      <c r="C976" s="70" t="s">
        <v>209</v>
      </c>
      <c r="D976" s="65"/>
      <c r="E976" s="66">
        <f>E977+E981+E985+E989+E993+E997+E1001+E1005+E1009+E1014+E1018</f>
        <v>270900</v>
      </c>
      <c r="F976" s="174">
        <v>0</v>
      </c>
      <c r="G976" s="65"/>
      <c r="H976" s="65">
        <f>H977+H981+H985+H989+H993+H997+H1001+H1005+H1009+H1014+H1018</f>
        <v>0</v>
      </c>
      <c r="I976" s="174">
        <v>0</v>
      </c>
      <c r="J976" s="106" t="e">
        <f aca="true" t="shared" si="74" ref="J976:J998">I976/H976</f>
        <v>#DIV/0!</v>
      </c>
      <c r="K976" s="133">
        <f aca="true" t="shared" si="75" ref="K976:K998">I976/I$54</f>
        <v>0</v>
      </c>
    </row>
    <row r="977" spans="1:11" ht="12.75" hidden="1">
      <c r="A977" s="189">
        <f t="shared" si="73"/>
        <v>886</v>
      </c>
      <c r="B977" s="4">
        <v>3020</v>
      </c>
      <c r="C977" s="84" t="s">
        <v>45</v>
      </c>
      <c r="D977" s="26"/>
      <c r="E977" s="47">
        <f>SUM(E979:E980)</f>
        <v>1800</v>
      </c>
      <c r="F977" s="161"/>
      <c r="G977" s="29"/>
      <c r="H977" s="29">
        <f>SUM(H979:H980)</f>
        <v>0</v>
      </c>
      <c r="I977" s="161"/>
      <c r="J977" s="106" t="e">
        <f t="shared" si="74"/>
        <v>#DIV/0!</v>
      </c>
      <c r="K977" s="133">
        <f t="shared" si="75"/>
        <v>0</v>
      </c>
    </row>
    <row r="978" spans="1:11" ht="12.75" hidden="1">
      <c r="A978" s="189">
        <f t="shared" si="73"/>
        <v>887</v>
      </c>
      <c r="B978" s="4"/>
      <c r="C978" s="84" t="s">
        <v>16</v>
      </c>
      <c r="D978" s="26"/>
      <c r="E978" s="48"/>
      <c r="F978" s="161"/>
      <c r="G978" s="161"/>
      <c r="H978" s="161"/>
      <c r="I978" s="161"/>
      <c r="J978" s="106" t="e">
        <f t="shared" si="74"/>
        <v>#DIV/0!</v>
      </c>
      <c r="K978" s="133">
        <f t="shared" si="75"/>
        <v>0</v>
      </c>
    </row>
    <row r="979" spans="1:11" ht="12.75" hidden="1">
      <c r="A979" s="189">
        <f t="shared" si="73"/>
        <v>888</v>
      </c>
      <c r="B979" s="4"/>
      <c r="C979" s="84" t="s">
        <v>175</v>
      </c>
      <c r="D979" s="26"/>
      <c r="E979" s="48">
        <v>800</v>
      </c>
      <c r="F979" s="161"/>
      <c r="G979" s="161"/>
      <c r="H979" s="161">
        <v>0</v>
      </c>
      <c r="I979" s="161"/>
      <c r="J979" s="106" t="e">
        <f t="shared" si="74"/>
        <v>#DIV/0!</v>
      </c>
      <c r="K979" s="133">
        <f t="shared" si="75"/>
        <v>0</v>
      </c>
    </row>
    <row r="980" spans="1:11" ht="12.75" hidden="1">
      <c r="A980" s="189">
        <f t="shared" si="73"/>
        <v>889</v>
      </c>
      <c r="B980" s="4"/>
      <c r="C980" s="84" t="s">
        <v>52</v>
      </c>
      <c r="D980" s="26"/>
      <c r="E980" s="48">
        <v>1000</v>
      </c>
      <c r="F980" s="161"/>
      <c r="G980" s="161"/>
      <c r="H980" s="161">
        <v>0</v>
      </c>
      <c r="I980" s="161"/>
      <c r="J980" s="106" t="e">
        <f t="shared" si="74"/>
        <v>#DIV/0!</v>
      </c>
      <c r="K980" s="133">
        <f t="shared" si="75"/>
        <v>0</v>
      </c>
    </row>
    <row r="981" spans="1:11" ht="12.75" hidden="1">
      <c r="A981" s="189">
        <f t="shared" si="73"/>
        <v>890</v>
      </c>
      <c r="B981" s="4">
        <v>4010</v>
      </c>
      <c r="C981" s="84" t="s">
        <v>30</v>
      </c>
      <c r="D981" s="26"/>
      <c r="E981" s="47">
        <f>SUM(E983:E984)</f>
        <v>84200</v>
      </c>
      <c r="F981" s="161"/>
      <c r="G981" s="29"/>
      <c r="H981" s="29">
        <f>SUM(H983:H984)</f>
        <v>0</v>
      </c>
      <c r="I981" s="161"/>
      <c r="J981" s="106" t="e">
        <f t="shared" si="74"/>
        <v>#DIV/0!</v>
      </c>
      <c r="K981" s="133">
        <f t="shared" si="75"/>
        <v>0</v>
      </c>
    </row>
    <row r="982" spans="1:11" ht="12.75" hidden="1">
      <c r="A982" s="189">
        <f t="shared" si="73"/>
        <v>891</v>
      </c>
      <c r="B982" s="4"/>
      <c r="C982" s="84" t="s">
        <v>16</v>
      </c>
      <c r="D982" s="26"/>
      <c r="E982" s="48"/>
      <c r="F982" s="161"/>
      <c r="G982" s="161"/>
      <c r="H982" s="161"/>
      <c r="I982" s="161"/>
      <c r="J982" s="106" t="e">
        <f t="shared" si="74"/>
        <v>#DIV/0!</v>
      </c>
      <c r="K982" s="133">
        <f t="shared" si="75"/>
        <v>0</v>
      </c>
    </row>
    <row r="983" spans="1:11" ht="12.75" hidden="1">
      <c r="A983" s="189">
        <f t="shared" si="73"/>
        <v>892</v>
      </c>
      <c r="B983" s="4"/>
      <c r="C983" s="84" t="s">
        <v>175</v>
      </c>
      <c r="D983" s="26"/>
      <c r="E983" s="48">
        <v>42300</v>
      </c>
      <c r="F983" s="161"/>
      <c r="G983" s="161"/>
      <c r="H983" s="161">
        <v>0</v>
      </c>
      <c r="I983" s="161"/>
      <c r="J983" s="106" t="e">
        <f t="shared" si="74"/>
        <v>#DIV/0!</v>
      </c>
      <c r="K983" s="133">
        <f t="shared" si="75"/>
        <v>0</v>
      </c>
    </row>
    <row r="984" spans="1:11" ht="12.75" hidden="1">
      <c r="A984" s="189">
        <f t="shared" si="73"/>
        <v>893</v>
      </c>
      <c r="B984" s="4"/>
      <c r="C984" s="84" t="s">
        <v>52</v>
      </c>
      <c r="D984" s="26"/>
      <c r="E984" s="48">
        <v>41900</v>
      </c>
      <c r="F984" s="161"/>
      <c r="G984" s="161"/>
      <c r="H984" s="161">
        <v>0</v>
      </c>
      <c r="I984" s="161"/>
      <c r="J984" s="106" t="e">
        <f t="shared" si="74"/>
        <v>#DIV/0!</v>
      </c>
      <c r="K984" s="133">
        <f t="shared" si="75"/>
        <v>0</v>
      </c>
    </row>
    <row r="985" spans="1:11" ht="12.75" hidden="1">
      <c r="A985" s="189">
        <f t="shared" si="73"/>
        <v>894</v>
      </c>
      <c r="B985" s="4">
        <v>4040</v>
      </c>
      <c r="C985" s="84" t="s">
        <v>31</v>
      </c>
      <c r="D985" s="26"/>
      <c r="E985" s="47">
        <f>SUM(E987:E988)</f>
        <v>6800</v>
      </c>
      <c r="F985" s="161"/>
      <c r="G985" s="29"/>
      <c r="H985" s="29">
        <f>SUM(H987:H988)</f>
        <v>0</v>
      </c>
      <c r="I985" s="161"/>
      <c r="J985" s="106" t="e">
        <f t="shared" si="74"/>
        <v>#DIV/0!</v>
      </c>
      <c r="K985" s="133">
        <f t="shared" si="75"/>
        <v>0</v>
      </c>
    </row>
    <row r="986" spans="1:11" ht="12.75" hidden="1">
      <c r="A986" s="189">
        <f t="shared" si="73"/>
        <v>895</v>
      </c>
      <c r="B986" s="4"/>
      <c r="C986" s="84" t="s">
        <v>16</v>
      </c>
      <c r="D986" s="26"/>
      <c r="E986" s="48"/>
      <c r="F986" s="161"/>
      <c r="G986" s="161"/>
      <c r="H986" s="161"/>
      <c r="I986" s="161"/>
      <c r="J986" s="106" t="e">
        <f t="shared" si="74"/>
        <v>#DIV/0!</v>
      </c>
      <c r="K986" s="133">
        <f t="shared" si="75"/>
        <v>0</v>
      </c>
    </row>
    <row r="987" spans="1:11" ht="12.75" hidden="1">
      <c r="A987" s="189">
        <f t="shared" si="73"/>
        <v>896</v>
      </c>
      <c r="B987" s="4"/>
      <c r="C987" s="84" t="s">
        <v>175</v>
      </c>
      <c r="D987" s="26"/>
      <c r="E987" s="48">
        <v>3500</v>
      </c>
      <c r="F987" s="161"/>
      <c r="G987" s="161"/>
      <c r="H987" s="161">
        <v>0</v>
      </c>
      <c r="I987" s="161"/>
      <c r="J987" s="106" t="e">
        <f t="shared" si="74"/>
        <v>#DIV/0!</v>
      </c>
      <c r="K987" s="133">
        <f t="shared" si="75"/>
        <v>0</v>
      </c>
    </row>
    <row r="988" spans="1:11" ht="12.75" hidden="1">
      <c r="A988" s="189">
        <f t="shared" si="73"/>
        <v>897</v>
      </c>
      <c r="B988" s="4"/>
      <c r="C988" s="84" t="s">
        <v>52</v>
      </c>
      <c r="D988" s="26"/>
      <c r="E988" s="48">
        <v>3300</v>
      </c>
      <c r="F988" s="161"/>
      <c r="G988" s="161"/>
      <c r="H988" s="161">
        <v>0</v>
      </c>
      <c r="I988" s="161"/>
      <c r="J988" s="106" t="e">
        <f t="shared" si="74"/>
        <v>#DIV/0!</v>
      </c>
      <c r="K988" s="133">
        <f t="shared" si="75"/>
        <v>0</v>
      </c>
    </row>
    <row r="989" spans="1:11" ht="12.75" hidden="1">
      <c r="A989" s="189">
        <f t="shared" si="73"/>
        <v>898</v>
      </c>
      <c r="B989" s="4">
        <v>4110</v>
      </c>
      <c r="C989" s="84" t="s">
        <v>49</v>
      </c>
      <c r="D989" s="26"/>
      <c r="E989" s="47">
        <f>SUM(E991:E992)</f>
        <v>16100</v>
      </c>
      <c r="F989" s="161"/>
      <c r="G989" s="29"/>
      <c r="H989" s="29">
        <f>SUM(H991:H992)</f>
        <v>0</v>
      </c>
      <c r="I989" s="161"/>
      <c r="J989" s="106" t="e">
        <f t="shared" si="74"/>
        <v>#DIV/0!</v>
      </c>
      <c r="K989" s="133">
        <f t="shared" si="75"/>
        <v>0</v>
      </c>
    </row>
    <row r="990" spans="1:11" ht="12.75" hidden="1">
      <c r="A990" s="189">
        <f t="shared" si="73"/>
        <v>899</v>
      </c>
      <c r="B990" s="4"/>
      <c r="C990" s="84" t="s">
        <v>16</v>
      </c>
      <c r="D990" s="26"/>
      <c r="E990" s="48"/>
      <c r="F990" s="161"/>
      <c r="G990" s="161"/>
      <c r="H990" s="161"/>
      <c r="I990" s="161"/>
      <c r="J990" s="106" t="e">
        <f t="shared" si="74"/>
        <v>#DIV/0!</v>
      </c>
      <c r="K990" s="133">
        <f t="shared" si="75"/>
        <v>0</v>
      </c>
    </row>
    <row r="991" spans="1:11" ht="12.75" hidden="1">
      <c r="A991" s="189">
        <f t="shared" si="73"/>
        <v>900</v>
      </c>
      <c r="B991" s="4"/>
      <c r="C991" s="84" t="s">
        <v>175</v>
      </c>
      <c r="D991" s="26"/>
      <c r="E991" s="48">
        <v>8000</v>
      </c>
      <c r="F991" s="161"/>
      <c r="G991" s="161"/>
      <c r="H991" s="161">
        <v>0</v>
      </c>
      <c r="I991" s="161"/>
      <c r="J991" s="106" t="e">
        <f t="shared" si="74"/>
        <v>#DIV/0!</v>
      </c>
      <c r="K991" s="133">
        <f t="shared" si="75"/>
        <v>0</v>
      </c>
    </row>
    <row r="992" spans="1:11" ht="12.75" hidden="1">
      <c r="A992" s="189">
        <f t="shared" si="73"/>
        <v>901</v>
      </c>
      <c r="B992" s="4"/>
      <c r="C992" s="84" t="s">
        <v>52</v>
      </c>
      <c r="D992" s="26"/>
      <c r="E992" s="48">
        <v>8100</v>
      </c>
      <c r="F992" s="161"/>
      <c r="G992" s="161"/>
      <c r="H992" s="161">
        <v>0</v>
      </c>
      <c r="I992" s="161"/>
      <c r="J992" s="106" t="e">
        <f t="shared" si="74"/>
        <v>#DIV/0!</v>
      </c>
      <c r="K992" s="133">
        <f t="shared" si="75"/>
        <v>0</v>
      </c>
    </row>
    <row r="993" spans="1:11" ht="12.75" hidden="1">
      <c r="A993" s="189">
        <f t="shared" si="73"/>
        <v>902</v>
      </c>
      <c r="B993" s="4">
        <v>4120</v>
      </c>
      <c r="C993" s="84" t="s">
        <v>36</v>
      </c>
      <c r="D993" s="26"/>
      <c r="E993" s="47">
        <f>SUM(E995:E996)</f>
        <v>2200</v>
      </c>
      <c r="F993" s="161"/>
      <c r="G993" s="29"/>
      <c r="H993" s="29">
        <f>SUM(H995:H996)</f>
        <v>0</v>
      </c>
      <c r="I993" s="161"/>
      <c r="J993" s="106" t="e">
        <f t="shared" si="74"/>
        <v>#DIV/0!</v>
      </c>
      <c r="K993" s="133">
        <f t="shared" si="75"/>
        <v>0</v>
      </c>
    </row>
    <row r="994" spans="1:11" ht="12.75" hidden="1">
      <c r="A994" s="189">
        <f t="shared" si="73"/>
        <v>903</v>
      </c>
      <c r="B994" s="4"/>
      <c r="C994" s="84" t="s">
        <v>16</v>
      </c>
      <c r="D994" s="26"/>
      <c r="E994" s="48"/>
      <c r="F994" s="161"/>
      <c r="G994" s="161"/>
      <c r="H994" s="161"/>
      <c r="I994" s="161"/>
      <c r="J994" s="106" t="e">
        <f t="shared" si="74"/>
        <v>#DIV/0!</v>
      </c>
      <c r="K994" s="133">
        <f t="shared" si="75"/>
        <v>0</v>
      </c>
    </row>
    <row r="995" spans="1:11" ht="12.75" hidden="1">
      <c r="A995" s="189">
        <f t="shared" si="73"/>
        <v>904</v>
      </c>
      <c r="B995" s="4"/>
      <c r="C995" s="84" t="s">
        <v>175</v>
      </c>
      <c r="D995" s="26"/>
      <c r="E995" s="48">
        <v>1100</v>
      </c>
      <c r="F995" s="161"/>
      <c r="G995" s="161"/>
      <c r="H995" s="161">
        <v>0</v>
      </c>
      <c r="I995" s="161"/>
      <c r="J995" s="106" t="e">
        <f t="shared" si="74"/>
        <v>#DIV/0!</v>
      </c>
      <c r="K995" s="133">
        <f t="shared" si="75"/>
        <v>0</v>
      </c>
    </row>
    <row r="996" spans="1:11" ht="12.75" hidden="1">
      <c r="A996" s="189">
        <f t="shared" si="73"/>
        <v>905</v>
      </c>
      <c r="B996" s="4"/>
      <c r="C996" s="84" t="s">
        <v>52</v>
      </c>
      <c r="D996" s="26"/>
      <c r="E996" s="48">
        <v>1100</v>
      </c>
      <c r="F996" s="161"/>
      <c r="G996" s="161"/>
      <c r="H996" s="161">
        <v>0</v>
      </c>
      <c r="I996" s="161"/>
      <c r="J996" s="106" t="e">
        <f t="shared" si="74"/>
        <v>#DIV/0!</v>
      </c>
      <c r="K996" s="133">
        <f t="shared" si="75"/>
        <v>0</v>
      </c>
    </row>
    <row r="997" spans="1:11" ht="12.75" hidden="1">
      <c r="A997" s="189">
        <f t="shared" si="73"/>
        <v>906</v>
      </c>
      <c r="B997" s="4">
        <v>4210</v>
      </c>
      <c r="C997" s="84" t="s">
        <v>162</v>
      </c>
      <c r="D997" s="26"/>
      <c r="E997" s="47">
        <f>SUM(E999:E1000)</f>
        <v>12200</v>
      </c>
      <c r="F997" s="161"/>
      <c r="G997" s="29"/>
      <c r="H997" s="29">
        <f>SUM(H999:H1000)</f>
        <v>0</v>
      </c>
      <c r="I997" s="161"/>
      <c r="J997" s="106" t="e">
        <f t="shared" si="74"/>
        <v>#DIV/0!</v>
      </c>
      <c r="K997" s="133">
        <f t="shared" si="75"/>
        <v>0</v>
      </c>
    </row>
    <row r="998" spans="1:11" ht="12.75" hidden="1">
      <c r="A998" s="189">
        <f t="shared" si="73"/>
        <v>907</v>
      </c>
      <c r="B998" s="4"/>
      <c r="C998" s="84" t="s">
        <v>16</v>
      </c>
      <c r="D998" s="26"/>
      <c r="E998" s="48"/>
      <c r="F998" s="161"/>
      <c r="G998" s="29"/>
      <c r="H998" s="29"/>
      <c r="I998" s="161"/>
      <c r="J998" s="106" t="e">
        <f t="shared" si="74"/>
        <v>#DIV/0!</v>
      </c>
      <c r="K998" s="133">
        <f t="shared" si="75"/>
        <v>0</v>
      </c>
    </row>
    <row r="999" spans="1:11" ht="12.75" hidden="1">
      <c r="A999" s="189">
        <f t="shared" si="73"/>
        <v>908</v>
      </c>
      <c r="B999" s="4"/>
      <c r="C999" s="84" t="s">
        <v>175</v>
      </c>
      <c r="D999" s="26"/>
      <c r="E999" s="48">
        <v>9200</v>
      </c>
      <c r="F999" s="161"/>
      <c r="G999" s="161"/>
      <c r="H999" s="161">
        <v>0</v>
      </c>
      <c r="I999" s="161"/>
      <c r="J999" s="106" t="e">
        <f aca="true" t="shared" si="76" ref="J999:J1070">I999/H999</f>
        <v>#DIV/0!</v>
      </c>
      <c r="K999" s="133">
        <f aca="true" t="shared" si="77" ref="K999:K1077">I999/I$54</f>
        <v>0</v>
      </c>
    </row>
    <row r="1000" spans="1:11" ht="12.75" hidden="1">
      <c r="A1000" s="189">
        <f t="shared" si="73"/>
        <v>909</v>
      </c>
      <c r="B1000" s="4"/>
      <c r="C1000" s="84" t="s">
        <v>52</v>
      </c>
      <c r="D1000" s="26"/>
      <c r="E1000" s="48">
        <v>3000</v>
      </c>
      <c r="F1000" s="161"/>
      <c r="G1000" s="161"/>
      <c r="H1000" s="161">
        <v>0</v>
      </c>
      <c r="I1000" s="161"/>
      <c r="J1000" s="106" t="e">
        <f t="shared" si="76"/>
        <v>#DIV/0!</v>
      </c>
      <c r="K1000" s="133">
        <f t="shared" si="77"/>
        <v>0</v>
      </c>
    </row>
    <row r="1001" spans="1:11" ht="12.75" hidden="1">
      <c r="A1001" s="189">
        <f t="shared" si="73"/>
        <v>910</v>
      </c>
      <c r="B1001" s="4">
        <v>4220</v>
      </c>
      <c r="C1001" s="84" t="s">
        <v>169</v>
      </c>
      <c r="D1001" s="26"/>
      <c r="E1001" s="47">
        <f>SUM(E1003:E1004)</f>
        <v>130500</v>
      </c>
      <c r="F1001" s="161"/>
      <c r="G1001" s="29"/>
      <c r="H1001" s="29">
        <f>SUM(H1003:H1004)</f>
        <v>0</v>
      </c>
      <c r="I1001" s="161"/>
      <c r="J1001" s="106" t="e">
        <f t="shared" si="76"/>
        <v>#DIV/0!</v>
      </c>
      <c r="K1001" s="133">
        <f t="shared" si="77"/>
        <v>0</v>
      </c>
    </row>
    <row r="1002" spans="1:11" ht="12.75" hidden="1">
      <c r="A1002" s="189">
        <f t="shared" si="73"/>
        <v>911</v>
      </c>
      <c r="B1002" s="4"/>
      <c r="C1002" s="84" t="s">
        <v>16</v>
      </c>
      <c r="D1002" s="26"/>
      <c r="E1002" s="48"/>
      <c r="F1002" s="161"/>
      <c r="G1002" s="161"/>
      <c r="H1002" s="161"/>
      <c r="I1002" s="161"/>
      <c r="J1002" s="106" t="e">
        <f t="shared" si="76"/>
        <v>#DIV/0!</v>
      </c>
      <c r="K1002" s="133">
        <f t="shared" si="77"/>
        <v>0</v>
      </c>
    </row>
    <row r="1003" spans="1:11" ht="12.75" hidden="1">
      <c r="A1003" s="189">
        <f t="shared" si="73"/>
        <v>912</v>
      </c>
      <c r="B1003" s="4"/>
      <c r="C1003" s="84" t="s">
        <v>175</v>
      </c>
      <c r="D1003" s="26"/>
      <c r="E1003" s="48">
        <v>64000</v>
      </c>
      <c r="F1003" s="161"/>
      <c r="G1003" s="161"/>
      <c r="H1003" s="161">
        <v>0</v>
      </c>
      <c r="I1003" s="161"/>
      <c r="J1003" s="106" t="e">
        <f t="shared" si="76"/>
        <v>#DIV/0!</v>
      </c>
      <c r="K1003" s="133">
        <f t="shared" si="77"/>
        <v>0</v>
      </c>
    </row>
    <row r="1004" spans="1:11" ht="12.75" hidden="1">
      <c r="A1004" s="189">
        <f t="shared" si="73"/>
        <v>913</v>
      </c>
      <c r="B1004" s="4"/>
      <c r="C1004" s="84" t="s">
        <v>52</v>
      </c>
      <c r="D1004" s="26"/>
      <c r="E1004" s="48">
        <v>66500</v>
      </c>
      <c r="F1004" s="161"/>
      <c r="G1004" s="161"/>
      <c r="H1004" s="161">
        <v>0</v>
      </c>
      <c r="I1004" s="161"/>
      <c r="J1004" s="106" t="e">
        <f t="shared" si="76"/>
        <v>#DIV/0!</v>
      </c>
      <c r="K1004" s="133">
        <f t="shared" si="77"/>
        <v>0</v>
      </c>
    </row>
    <row r="1005" spans="1:11" ht="12.75" hidden="1">
      <c r="A1005" s="189">
        <f t="shared" si="73"/>
        <v>914</v>
      </c>
      <c r="B1005" s="4">
        <v>4260</v>
      </c>
      <c r="C1005" s="84" t="s">
        <v>165</v>
      </c>
      <c r="D1005" s="26"/>
      <c r="E1005" s="47">
        <f>SUM(E1007:E1008)</f>
        <v>5700</v>
      </c>
      <c r="F1005" s="161"/>
      <c r="G1005" s="29"/>
      <c r="H1005" s="29">
        <f>SUM(H1007:H1008)</f>
        <v>0</v>
      </c>
      <c r="I1005" s="161"/>
      <c r="J1005" s="106" t="e">
        <f t="shared" si="76"/>
        <v>#DIV/0!</v>
      </c>
      <c r="K1005" s="133">
        <f t="shared" si="77"/>
        <v>0</v>
      </c>
    </row>
    <row r="1006" spans="1:11" ht="12.75" hidden="1">
      <c r="A1006" s="189">
        <f t="shared" si="73"/>
        <v>915</v>
      </c>
      <c r="B1006" s="4"/>
      <c r="C1006" s="84" t="s">
        <v>16</v>
      </c>
      <c r="D1006" s="26"/>
      <c r="E1006" s="48"/>
      <c r="F1006" s="161"/>
      <c r="G1006" s="161"/>
      <c r="H1006" s="161"/>
      <c r="I1006" s="161"/>
      <c r="J1006" s="106" t="e">
        <f t="shared" si="76"/>
        <v>#DIV/0!</v>
      </c>
      <c r="K1006" s="133">
        <f t="shared" si="77"/>
        <v>0</v>
      </c>
    </row>
    <row r="1007" spans="1:11" ht="12.75" hidden="1">
      <c r="A1007" s="189">
        <f t="shared" si="73"/>
        <v>916</v>
      </c>
      <c r="B1007" s="4"/>
      <c r="C1007" s="84" t="s">
        <v>175</v>
      </c>
      <c r="D1007" s="26"/>
      <c r="E1007" s="48">
        <v>3200</v>
      </c>
      <c r="F1007" s="161"/>
      <c r="G1007" s="161"/>
      <c r="H1007" s="161">
        <v>0</v>
      </c>
      <c r="I1007" s="161"/>
      <c r="J1007" s="106" t="e">
        <f t="shared" si="76"/>
        <v>#DIV/0!</v>
      </c>
      <c r="K1007" s="133">
        <f t="shared" si="77"/>
        <v>0</v>
      </c>
    </row>
    <row r="1008" spans="1:11" ht="12.75" hidden="1">
      <c r="A1008" s="189">
        <f t="shared" si="73"/>
        <v>917</v>
      </c>
      <c r="B1008" s="4"/>
      <c r="C1008" s="84" t="s">
        <v>52</v>
      </c>
      <c r="D1008" s="26"/>
      <c r="E1008" s="48">
        <v>2500</v>
      </c>
      <c r="F1008" s="161"/>
      <c r="G1008" s="161"/>
      <c r="H1008" s="161">
        <v>0</v>
      </c>
      <c r="I1008" s="161"/>
      <c r="J1008" s="106" t="e">
        <f t="shared" si="76"/>
        <v>#DIV/0!</v>
      </c>
      <c r="K1008" s="133">
        <f t="shared" si="77"/>
        <v>0</v>
      </c>
    </row>
    <row r="1009" spans="1:11" ht="12.75" hidden="1">
      <c r="A1009" s="189">
        <f t="shared" si="73"/>
        <v>918</v>
      </c>
      <c r="B1009" s="4">
        <v>4270</v>
      </c>
      <c r="C1009" s="84" t="s">
        <v>161</v>
      </c>
      <c r="D1009" s="26"/>
      <c r="E1009" s="47">
        <f>SUM(E1011:E1012)</f>
        <v>6800</v>
      </c>
      <c r="F1009" s="161"/>
      <c r="G1009" s="29"/>
      <c r="H1009" s="29">
        <f>SUM(H1011:H1012)</f>
        <v>0</v>
      </c>
      <c r="I1009" s="161"/>
      <c r="J1009" s="106" t="e">
        <f t="shared" si="76"/>
        <v>#DIV/0!</v>
      </c>
      <c r="K1009" s="133">
        <f t="shared" si="77"/>
        <v>0</v>
      </c>
    </row>
    <row r="1010" spans="1:11" ht="12.75" hidden="1">
      <c r="A1010" s="189">
        <f t="shared" si="73"/>
        <v>919</v>
      </c>
      <c r="B1010" s="4"/>
      <c r="C1010" s="84" t="s">
        <v>16</v>
      </c>
      <c r="D1010" s="26"/>
      <c r="E1010" s="48"/>
      <c r="F1010" s="161"/>
      <c r="G1010" s="161"/>
      <c r="H1010" s="161"/>
      <c r="I1010" s="161"/>
      <c r="J1010" s="106" t="e">
        <f t="shared" si="76"/>
        <v>#DIV/0!</v>
      </c>
      <c r="K1010" s="133">
        <f t="shared" si="77"/>
        <v>0</v>
      </c>
    </row>
    <row r="1011" spans="1:11" ht="12.75" hidden="1">
      <c r="A1011" s="189">
        <f t="shared" si="73"/>
        <v>920</v>
      </c>
      <c r="B1011" s="4"/>
      <c r="C1011" s="84" t="s">
        <v>175</v>
      </c>
      <c r="D1011" s="26"/>
      <c r="E1011" s="48">
        <v>4300</v>
      </c>
      <c r="F1011" s="161"/>
      <c r="G1011" s="161"/>
      <c r="H1011" s="161">
        <v>0</v>
      </c>
      <c r="I1011" s="161"/>
      <c r="J1011" s="106" t="e">
        <f t="shared" si="76"/>
        <v>#DIV/0!</v>
      </c>
      <c r="K1011" s="133">
        <f t="shared" si="77"/>
        <v>0</v>
      </c>
    </row>
    <row r="1012" spans="1:11" ht="12.75" hidden="1">
      <c r="A1012" s="189">
        <f t="shared" si="73"/>
        <v>921</v>
      </c>
      <c r="B1012" s="4"/>
      <c r="C1012" s="84" t="s">
        <v>52</v>
      </c>
      <c r="D1012" s="26"/>
      <c r="E1012" s="48">
        <v>2500</v>
      </c>
      <c r="F1012" s="161"/>
      <c r="G1012" s="161"/>
      <c r="H1012" s="161">
        <v>0</v>
      </c>
      <c r="I1012" s="161"/>
      <c r="J1012" s="106" t="e">
        <f t="shared" si="76"/>
        <v>#DIV/0!</v>
      </c>
      <c r="K1012" s="133">
        <f t="shared" si="77"/>
        <v>0</v>
      </c>
    </row>
    <row r="1013" spans="1:11" ht="12.75" hidden="1">
      <c r="A1013" s="189">
        <f t="shared" si="73"/>
        <v>922</v>
      </c>
      <c r="B1013" s="4"/>
      <c r="C1013" s="84"/>
      <c r="D1013" s="26"/>
      <c r="E1013" s="48"/>
      <c r="F1013" s="161"/>
      <c r="G1013" s="161"/>
      <c r="H1013" s="161"/>
      <c r="I1013" s="161"/>
      <c r="J1013" s="106" t="e">
        <f t="shared" si="76"/>
        <v>#DIV/0!</v>
      </c>
      <c r="K1013" s="133">
        <f t="shared" si="77"/>
        <v>0</v>
      </c>
    </row>
    <row r="1014" spans="1:11" ht="12.75" hidden="1">
      <c r="A1014" s="189">
        <f t="shared" si="73"/>
        <v>923</v>
      </c>
      <c r="B1014" s="4">
        <v>4300</v>
      </c>
      <c r="C1014" s="84" t="s">
        <v>160</v>
      </c>
      <c r="D1014" s="26"/>
      <c r="E1014" s="47">
        <f>SUM(E1016:E1017)</f>
        <v>1000</v>
      </c>
      <c r="F1014" s="161"/>
      <c r="G1014" s="29"/>
      <c r="H1014" s="29">
        <f>SUM(H1016:H1017)</f>
        <v>0</v>
      </c>
      <c r="I1014" s="161"/>
      <c r="J1014" s="106" t="e">
        <f t="shared" si="76"/>
        <v>#DIV/0!</v>
      </c>
      <c r="K1014" s="133">
        <f t="shared" si="77"/>
        <v>0</v>
      </c>
    </row>
    <row r="1015" spans="1:11" ht="12.75" hidden="1">
      <c r="A1015" s="189">
        <f t="shared" si="73"/>
        <v>924</v>
      </c>
      <c r="B1015" s="4"/>
      <c r="C1015" s="84" t="s">
        <v>16</v>
      </c>
      <c r="D1015" s="26"/>
      <c r="E1015" s="48"/>
      <c r="F1015" s="161"/>
      <c r="G1015" s="161"/>
      <c r="H1015" s="161"/>
      <c r="I1015" s="161"/>
      <c r="J1015" s="106" t="e">
        <f t="shared" si="76"/>
        <v>#DIV/0!</v>
      </c>
      <c r="K1015" s="133">
        <f t="shared" si="77"/>
        <v>0</v>
      </c>
    </row>
    <row r="1016" spans="1:11" ht="12.75" hidden="1">
      <c r="A1016" s="189">
        <f t="shared" si="73"/>
        <v>925</v>
      </c>
      <c r="B1016" s="4"/>
      <c r="C1016" s="84" t="s">
        <v>175</v>
      </c>
      <c r="D1016" s="26"/>
      <c r="E1016" s="48">
        <v>0</v>
      </c>
      <c r="F1016" s="161"/>
      <c r="G1016" s="161"/>
      <c r="H1016" s="161">
        <v>0</v>
      </c>
      <c r="I1016" s="161"/>
      <c r="J1016" s="106" t="e">
        <f t="shared" si="76"/>
        <v>#DIV/0!</v>
      </c>
      <c r="K1016" s="133">
        <f t="shared" si="77"/>
        <v>0</v>
      </c>
    </row>
    <row r="1017" spans="1:11" ht="12.75" hidden="1">
      <c r="A1017" s="189">
        <f t="shared" si="73"/>
        <v>926</v>
      </c>
      <c r="B1017" s="4"/>
      <c r="C1017" s="84" t="s">
        <v>52</v>
      </c>
      <c r="D1017" s="26"/>
      <c r="E1017" s="48">
        <v>1000</v>
      </c>
      <c r="F1017" s="161"/>
      <c r="G1017" s="161"/>
      <c r="H1017" s="161">
        <v>0</v>
      </c>
      <c r="I1017" s="161"/>
      <c r="J1017" s="106" t="e">
        <f t="shared" si="76"/>
        <v>#DIV/0!</v>
      </c>
      <c r="K1017" s="133">
        <f t="shared" si="77"/>
        <v>0</v>
      </c>
    </row>
    <row r="1018" spans="1:11" ht="12.75" hidden="1">
      <c r="A1018" s="189">
        <f t="shared" si="73"/>
        <v>927</v>
      </c>
      <c r="B1018" s="4">
        <v>4440</v>
      </c>
      <c r="C1018" s="84" t="s">
        <v>50</v>
      </c>
      <c r="D1018" s="26"/>
      <c r="E1018" s="47">
        <f>SUM(E1020:E1021)</f>
        <v>3600</v>
      </c>
      <c r="F1018" s="161"/>
      <c r="G1018" s="29"/>
      <c r="H1018" s="29">
        <f>SUM(H1020:H1021)</f>
        <v>0</v>
      </c>
      <c r="I1018" s="161"/>
      <c r="J1018" s="106" t="e">
        <f t="shared" si="76"/>
        <v>#DIV/0!</v>
      </c>
      <c r="K1018" s="133">
        <f t="shared" si="77"/>
        <v>0</v>
      </c>
    </row>
    <row r="1019" spans="1:11" ht="12.75" hidden="1">
      <c r="A1019" s="189">
        <f t="shared" si="73"/>
        <v>928</v>
      </c>
      <c r="B1019" s="4"/>
      <c r="C1019" s="84" t="s">
        <v>16</v>
      </c>
      <c r="D1019" s="26"/>
      <c r="E1019" s="48"/>
      <c r="F1019" s="161"/>
      <c r="G1019" s="161"/>
      <c r="H1019" s="161"/>
      <c r="I1019" s="161"/>
      <c r="J1019" s="106" t="e">
        <f t="shared" si="76"/>
        <v>#DIV/0!</v>
      </c>
      <c r="K1019" s="133">
        <f t="shared" si="77"/>
        <v>0</v>
      </c>
    </row>
    <row r="1020" spans="1:11" ht="12.75" hidden="1">
      <c r="A1020" s="189">
        <f t="shared" si="73"/>
        <v>929</v>
      </c>
      <c r="B1020" s="4"/>
      <c r="C1020" s="84" t="s">
        <v>175</v>
      </c>
      <c r="D1020" s="26"/>
      <c r="E1020" s="48">
        <v>1400</v>
      </c>
      <c r="F1020" s="161"/>
      <c r="G1020" s="161"/>
      <c r="H1020" s="161">
        <v>0</v>
      </c>
      <c r="I1020" s="161"/>
      <c r="J1020" s="106" t="e">
        <f t="shared" si="76"/>
        <v>#DIV/0!</v>
      </c>
      <c r="K1020" s="133">
        <f t="shared" si="77"/>
        <v>0</v>
      </c>
    </row>
    <row r="1021" spans="1:11" ht="12.75" hidden="1">
      <c r="A1021" s="189">
        <f t="shared" si="73"/>
        <v>930</v>
      </c>
      <c r="B1021" s="4"/>
      <c r="C1021" s="84" t="s">
        <v>52</v>
      </c>
      <c r="D1021" s="26"/>
      <c r="E1021" s="48">
        <v>2200</v>
      </c>
      <c r="F1021" s="161"/>
      <c r="G1021" s="161"/>
      <c r="H1021" s="161">
        <v>0</v>
      </c>
      <c r="I1021" s="161"/>
      <c r="J1021" s="106" t="e">
        <f t="shared" si="76"/>
        <v>#DIV/0!</v>
      </c>
      <c r="K1021" s="133">
        <f t="shared" si="77"/>
        <v>0</v>
      </c>
    </row>
    <row r="1022" spans="1:11" s="75" customFormat="1" ht="12.75">
      <c r="A1022" s="189">
        <f t="shared" si="73"/>
        <v>931</v>
      </c>
      <c r="B1022" s="64">
        <v>85415</v>
      </c>
      <c r="C1022" s="70" t="s">
        <v>334</v>
      </c>
      <c r="D1022" s="65"/>
      <c r="E1022" s="74"/>
      <c r="F1022" s="174">
        <f>F1024+F1026</f>
        <v>148641</v>
      </c>
      <c r="G1022" s="174"/>
      <c r="H1022" s="174">
        <f>H1024+H1026</f>
        <v>75500</v>
      </c>
      <c r="I1022" s="174">
        <f>I1024+I1026</f>
        <v>130700</v>
      </c>
      <c r="J1022" s="217">
        <f t="shared" si="76"/>
        <v>1.7311258278145696</v>
      </c>
      <c r="K1022" s="139">
        <f t="shared" si="77"/>
        <v>0.003951550742007898</v>
      </c>
    </row>
    <row r="1023" spans="1:11" ht="12.75">
      <c r="A1023" s="189">
        <f t="shared" si="73"/>
        <v>932</v>
      </c>
      <c r="B1023" s="4">
        <v>3260</v>
      </c>
      <c r="C1023" s="84" t="s">
        <v>326</v>
      </c>
      <c r="D1023" s="26"/>
      <c r="E1023" s="48"/>
      <c r="H1023" s="29"/>
      <c r="I1023" s="29"/>
      <c r="J1023" s="106"/>
      <c r="K1023" s="133"/>
    </row>
    <row r="1024" spans="1:11" ht="12.75">
      <c r="A1024" s="189">
        <f t="shared" si="73"/>
        <v>933</v>
      </c>
      <c r="B1024" s="4"/>
      <c r="C1024" s="84" t="s">
        <v>362</v>
      </c>
      <c r="D1024" s="26"/>
      <c r="E1024" s="48"/>
      <c r="F1024" s="161">
        <v>117241</v>
      </c>
      <c r="G1024" s="161"/>
      <c r="H1024" s="161">
        <v>65500</v>
      </c>
      <c r="I1024" s="161">
        <v>66300</v>
      </c>
      <c r="J1024" s="106">
        <f t="shared" si="76"/>
        <v>1.0122137404580154</v>
      </c>
      <c r="K1024" s="133">
        <f t="shared" si="77"/>
        <v>0.00200449743072015</v>
      </c>
    </row>
    <row r="1025" spans="1:11" ht="12.75">
      <c r="A1025" s="189">
        <f t="shared" si="73"/>
        <v>934</v>
      </c>
      <c r="B1025" s="4">
        <v>4300</v>
      </c>
      <c r="C1025" s="84" t="s">
        <v>361</v>
      </c>
      <c r="D1025" s="26"/>
      <c r="E1025" s="48"/>
      <c r="F1025" s="161"/>
      <c r="G1025" s="161"/>
      <c r="H1025" s="161"/>
      <c r="I1025" s="161"/>
      <c r="J1025" s="106"/>
      <c r="K1025" s="133"/>
    </row>
    <row r="1026" spans="1:11" ht="12.75">
      <c r="A1026" s="189">
        <f t="shared" si="73"/>
        <v>935</v>
      </c>
      <c r="B1026" s="4"/>
      <c r="C1026" s="84" t="s">
        <v>360</v>
      </c>
      <c r="D1026" s="26"/>
      <c r="E1026" s="48"/>
      <c r="F1026" s="161">
        <f>86400-55000</f>
        <v>31400</v>
      </c>
      <c r="G1026" s="161"/>
      <c r="H1026" s="161">
        <v>10000</v>
      </c>
      <c r="I1026" s="161">
        <f>10000+54400</f>
        <v>64400</v>
      </c>
      <c r="J1026" s="106">
        <f t="shared" si="76"/>
        <v>6.44</v>
      </c>
      <c r="K1026" s="133">
        <f t="shared" si="77"/>
        <v>0.0019470533112877476</v>
      </c>
    </row>
    <row r="1027" spans="1:11" ht="12.75">
      <c r="A1027" s="189">
        <f aca="true" t="shared" si="78" ref="A1027:A1094">A1026+1</f>
        <v>936</v>
      </c>
      <c r="B1027" s="64">
        <v>85446</v>
      </c>
      <c r="C1027" s="70" t="s">
        <v>223</v>
      </c>
      <c r="D1027" s="26"/>
      <c r="E1027" s="48"/>
      <c r="F1027" s="174">
        <f>F1028+F1033+F1039</f>
        <v>1980</v>
      </c>
      <c r="G1027" s="174">
        <f>G1028+G1033</f>
        <v>0</v>
      </c>
      <c r="H1027" s="174">
        <f>H1028+H1033+H1039</f>
        <v>1980</v>
      </c>
      <c r="I1027" s="174">
        <f>I1028+I1033+I1039</f>
        <v>1118</v>
      </c>
      <c r="J1027" s="217">
        <f t="shared" si="76"/>
        <v>0.5646464646464646</v>
      </c>
      <c r="K1027" s="139">
        <f t="shared" si="77"/>
        <v>3.380132922390841E-05</v>
      </c>
    </row>
    <row r="1028" spans="1:11" ht="12.75">
      <c r="A1028" s="189">
        <f t="shared" si="78"/>
        <v>937</v>
      </c>
      <c r="B1028" s="4">
        <v>3250</v>
      </c>
      <c r="C1028" s="84" t="s">
        <v>46</v>
      </c>
      <c r="D1028" s="26"/>
      <c r="E1028" s="48"/>
      <c r="F1028" s="161">
        <f>SUM(F1030:F1032)</f>
        <v>700</v>
      </c>
      <c r="G1028" s="161"/>
      <c r="H1028" s="161">
        <f>SUM(H1030:H1032)</f>
        <v>700</v>
      </c>
      <c r="I1028" s="161">
        <f>SUM(I1030:I1032)</f>
        <v>700</v>
      </c>
      <c r="J1028" s="106">
        <f t="shared" si="76"/>
        <v>1</v>
      </c>
      <c r="K1028" s="133">
        <f t="shared" si="77"/>
        <v>2.1163622948779865E-05</v>
      </c>
    </row>
    <row r="1029" spans="1:11" ht="12.75">
      <c r="A1029" s="189">
        <f t="shared" si="78"/>
        <v>938</v>
      </c>
      <c r="B1029" s="4"/>
      <c r="C1029" s="84" t="s">
        <v>16</v>
      </c>
      <c r="D1029" s="26"/>
      <c r="E1029" s="48"/>
      <c r="F1029" s="161"/>
      <c r="G1029" s="161"/>
      <c r="H1029" s="161"/>
      <c r="I1029" s="161"/>
      <c r="J1029" s="106"/>
      <c r="K1029" s="133"/>
    </row>
    <row r="1030" spans="1:11" ht="12.75">
      <c r="A1030" s="189">
        <f t="shared" si="78"/>
        <v>939</v>
      </c>
      <c r="B1030" s="4"/>
      <c r="C1030" s="84" t="s">
        <v>175</v>
      </c>
      <c r="D1030" s="26"/>
      <c r="E1030" s="48"/>
      <c r="F1030" s="161">
        <v>0</v>
      </c>
      <c r="G1030" s="161"/>
      <c r="H1030" s="161">
        <v>0</v>
      </c>
      <c r="I1030" s="161">
        <v>0</v>
      </c>
      <c r="J1030" s="106"/>
      <c r="K1030" s="133">
        <f t="shared" si="77"/>
        <v>0</v>
      </c>
    </row>
    <row r="1031" spans="1:11" ht="12.75">
      <c r="A1031" s="189">
        <f t="shared" si="78"/>
        <v>940</v>
      </c>
      <c r="B1031" s="4"/>
      <c r="C1031" s="84" t="s">
        <v>176</v>
      </c>
      <c r="D1031" s="26"/>
      <c r="E1031" s="48"/>
      <c r="F1031" s="161">
        <v>0</v>
      </c>
      <c r="G1031" s="161"/>
      <c r="H1031" s="161">
        <v>0</v>
      </c>
      <c r="I1031" s="161">
        <v>0</v>
      </c>
      <c r="J1031" s="106"/>
      <c r="K1031" s="133">
        <f t="shared" si="77"/>
        <v>0</v>
      </c>
    </row>
    <row r="1032" spans="1:11" ht="12.75">
      <c r="A1032" s="189">
        <f t="shared" si="78"/>
        <v>941</v>
      </c>
      <c r="B1032" s="4"/>
      <c r="C1032" s="84" t="s">
        <v>52</v>
      </c>
      <c r="D1032" s="26"/>
      <c r="E1032" s="48"/>
      <c r="F1032" s="161">
        <v>700</v>
      </c>
      <c r="G1032" s="161"/>
      <c r="H1032" s="161">
        <v>700</v>
      </c>
      <c r="I1032" s="161">
        <v>700</v>
      </c>
      <c r="J1032" s="106">
        <f>I1032/H1032</f>
        <v>1</v>
      </c>
      <c r="K1032" s="133">
        <f t="shared" si="77"/>
        <v>2.1163622948779865E-05</v>
      </c>
    </row>
    <row r="1033" spans="1:11" ht="12.75">
      <c r="A1033" s="189">
        <f t="shared" si="78"/>
        <v>942</v>
      </c>
      <c r="B1033" s="4">
        <v>4300</v>
      </c>
      <c r="C1033" s="84" t="s">
        <v>173</v>
      </c>
      <c r="D1033" s="26"/>
      <c r="E1033" s="48"/>
      <c r="F1033" s="161">
        <f>SUM(F1035:F1038)</f>
        <v>900</v>
      </c>
      <c r="G1033" s="161"/>
      <c r="H1033" s="161">
        <f>SUM(H1035:H1038)</f>
        <v>900</v>
      </c>
      <c r="I1033" s="161">
        <f>SUM(I1035:I1038)</f>
        <v>0</v>
      </c>
      <c r="J1033" s="106">
        <f t="shared" si="76"/>
        <v>0</v>
      </c>
      <c r="K1033" s="133">
        <f t="shared" si="77"/>
        <v>0</v>
      </c>
    </row>
    <row r="1034" spans="1:11" ht="12.75">
      <c r="A1034" s="189">
        <f t="shared" si="78"/>
        <v>943</v>
      </c>
      <c r="B1034" s="4"/>
      <c r="C1034" s="84" t="s">
        <v>16</v>
      </c>
      <c r="D1034" s="26"/>
      <c r="E1034" s="48"/>
      <c r="F1034" s="161"/>
      <c r="G1034" s="161"/>
      <c r="H1034" s="161"/>
      <c r="I1034" s="161"/>
      <c r="J1034" s="106"/>
      <c r="K1034" s="133"/>
    </row>
    <row r="1035" spans="1:11" ht="12.75">
      <c r="A1035" s="189">
        <f t="shared" si="78"/>
        <v>944</v>
      </c>
      <c r="B1035" s="4"/>
      <c r="C1035" s="84" t="s">
        <v>175</v>
      </c>
      <c r="D1035" s="26"/>
      <c r="E1035" s="48"/>
      <c r="F1035" s="161">
        <v>900</v>
      </c>
      <c r="G1035" s="161"/>
      <c r="H1035" s="161">
        <v>900</v>
      </c>
      <c r="I1035" s="161">
        <v>0</v>
      </c>
      <c r="J1035" s="106">
        <f t="shared" si="76"/>
        <v>0</v>
      </c>
      <c r="K1035" s="133">
        <f t="shared" si="77"/>
        <v>0</v>
      </c>
    </row>
    <row r="1036" spans="1:11" ht="12.75">
      <c r="A1036" s="189">
        <f t="shared" si="78"/>
        <v>945</v>
      </c>
      <c r="B1036" s="4"/>
      <c r="C1036" s="84" t="s">
        <v>176</v>
      </c>
      <c r="D1036" s="26"/>
      <c r="E1036" s="48"/>
      <c r="F1036" s="161">
        <v>0</v>
      </c>
      <c r="G1036" s="161"/>
      <c r="H1036" s="161">
        <v>0</v>
      </c>
      <c r="I1036" s="161">
        <v>0</v>
      </c>
      <c r="J1036" s="106"/>
      <c r="K1036" s="133">
        <f t="shared" si="77"/>
        <v>0</v>
      </c>
    </row>
    <row r="1037" spans="1:11" ht="12.75">
      <c r="A1037" s="189">
        <f t="shared" si="78"/>
        <v>946</v>
      </c>
      <c r="B1037" s="4"/>
      <c r="C1037" s="84" t="s">
        <v>52</v>
      </c>
      <c r="D1037" s="26"/>
      <c r="E1037" s="48"/>
      <c r="F1037" s="161">
        <v>0</v>
      </c>
      <c r="G1037" s="161"/>
      <c r="H1037" s="161">
        <v>0</v>
      </c>
      <c r="I1037" s="161">
        <v>0</v>
      </c>
      <c r="J1037" s="106"/>
      <c r="K1037" s="133">
        <f t="shared" si="77"/>
        <v>0</v>
      </c>
    </row>
    <row r="1038" spans="1:11" ht="12.75">
      <c r="A1038" s="189">
        <f t="shared" si="78"/>
        <v>947</v>
      </c>
      <c r="B1038" s="4"/>
      <c r="C1038" s="84" t="s">
        <v>224</v>
      </c>
      <c r="D1038" s="26"/>
      <c r="E1038" s="48"/>
      <c r="F1038" s="161">
        <v>0</v>
      </c>
      <c r="G1038" s="161"/>
      <c r="H1038" s="161">
        <v>0</v>
      </c>
      <c r="I1038" s="161">
        <v>0</v>
      </c>
      <c r="J1038" s="106"/>
      <c r="K1038" s="133">
        <f t="shared" si="77"/>
        <v>0</v>
      </c>
    </row>
    <row r="1039" spans="1:11" ht="12.75">
      <c r="A1039" s="189">
        <f>A1038+1</f>
        <v>948</v>
      </c>
      <c r="B1039" s="4">
        <v>4410</v>
      </c>
      <c r="C1039" s="84" t="s">
        <v>32</v>
      </c>
      <c r="D1039" s="26"/>
      <c r="E1039" s="48"/>
      <c r="F1039" s="161">
        <f>SUM(F1041)</f>
        <v>380</v>
      </c>
      <c r="G1039" s="161"/>
      <c r="H1039" s="161">
        <f>SUM(H1041)</f>
        <v>380</v>
      </c>
      <c r="I1039" s="161">
        <f>SUM(I1041)</f>
        <v>418</v>
      </c>
      <c r="J1039" s="106">
        <f>I1039/H1039</f>
        <v>1.1</v>
      </c>
      <c r="K1039" s="133">
        <f t="shared" si="77"/>
        <v>1.2637706275128548E-05</v>
      </c>
    </row>
    <row r="1040" spans="1:11" ht="12.75">
      <c r="A1040" s="189">
        <f t="shared" si="78"/>
        <v>949</v>
      </c>
      <c r="B1040" s="4"/>
      <c r="C1040" s="84" t="s">
        <v>16</v>
      </c>
      <c r="D1040" s="26"/>
      <c r="E1040" s="48"/>
      <c r="F1040" s="161"/>
      <c r="G1040" s="161"/>
      <c r="H1040" s="161"/>
      <c r="I1040" s="161"/>
      <c r="J1040" s="106"/>
      <c r="K1040" s="133">
        <f t="shared" si="77"/>
        <v>0</v>
      </c>
    </row>
    <row r="1041" spans="1:11" ht="12.75">
      <c r="A1041" s="189">
        <f t="shared" si="78"/>
        <v>950</v>
      </c>
      <c r="B1041" s="4"/>
      <c r="C1041" s="84" t="s">
        <v>175</v>
      </c>
      <c r="D1041" s="26"/>
      <c r="E1041" s="48"/>
      <c r="F1041" s="161">
        <v>380</v>
      </c>
      <c r="G1041" s="161"/>
      <c r="H1041" s="161">
        <v>380</v>
      </c>
      <c r="I1041" s="161">
        <v>418</v>
      </c>
      <c r="J1041" s="106">
        <f>I1041/H1041</f>
        <v>1.1</v>
      </c>
      <c r="K1041" s="133">
        <f t="shared" si="77"/>
        <v>1.2637706275128548E-05</v>
      </c>
    </row>
    <row r="1042" spans="1:11" s="75" customFormat="1" ht="12.75">
      <c r="A1042" s="189">
        <f t="shared" si="78"/>
        <v>951</v>
      </c>
      <c r="B1042" s="64">
        <v>85495</v>
      </c>
      <c r="C1042" s="70" t="s">
        <v>28</v>
      </c>
      <c r="D1042" s="65"/>
      <c r="E1042" s="74"/>
      <c r="F1042" s="174">
        <f>F1044</f>
        <v>1660</v>
      </c>
      <c r="G1042" s="174"/>
      <c r="H1042" s="174">
        <f>H1044</f>
        <v>1660</v>
      </c>
      <c r="I1042" s="174">
        <f>I1044</f>
        <v>1490</v>
      </c>
      <c r="J1042" s="217">
        <f aca="true" t="shared" si="79" ref="J1042:J1047">I1042/H1042</f>
        <v>0.8975903614457831</v>
      </c>
      <c r="K1042" s="139">
        <f aca="true" t="shared" si="80" ref="K1042:K1047">I1042/I$54</f>
        <v>4.504828313383143E-05</v>
      </c>
    </row>
    <row r="1043" spans="1:11" ht="12.75">
      <c r="A1043" s="189">
        <f t="shared" si="78"/>
        <v>952</v>
      </c>
      <c r="B1043" s="4">
        <v>4440</v>
      </c>
      <c r="C1043" s="84" t="s">
        <v>50</v>
      </c>
      <c r="D1043" s="26"/>
      <c r="E1043" s="48"/>
      <c r="F1043" s="161"/>
      <c r="G1043" s="161"/>
      <c r="H1043" s="161"/>
      <c r="I1043" s="161"/>
      <c r="J1043" s="106"/>
      <c r="K1043" s="133"/>
    </row>
    <row r="1044" spans="1:11" ht="12.75">
      <c r="A1044" s="189">
        <f t="shared" si="78"/>
        <v>953</v>
      </c>
      <c r="B1044" s="4"/>
      <c r="C1044" s="84" t="s">
        <v>279</v>
      </c>
      <c r="D1044" s="26"/>
      <c r="E1044" s="48"/>
      <c r="F1044" s="161">
        <f>SUM(F1046:F1047)</f>
        <v>1660</v>
      </c>
      <c r="G1044" s="161"/>
      <c r="H1044" s="161">
        <f>SUM(H1046:H1047)</f>
        <v>1660</v>
      </c>
      <c r="I1044" s="161">
        <f>SUM(I1046:I1047)</f>
        <v>1490</v>
      </c>
      <c r="J1044" s="106">
        <f t="shared" si="79"/>
        <v>0.8975903614457831</v>
      </c>
      <c r="K1044" s="133">
        <f t="shared" si="80"/>
        <v>4.504828313383143E-05</v>
      </c>
    </row>
    <row r="1045" spans="1:11" ht="12.75">
      <c r="A1045" s="189">
        <f t="shared" si="78"/>
        <v>954</v>
      </c>
      <c r="B1045" s="4"/>
      <c r="C1045" s="84" t="s">
        <v>16</v>
      </c>
      <c r="D1045" s="26"/>
      <c r="E1045" s="48"/>
      <c r="F1045" s="161"/>
      <c r="G1045" s="161"/>
      <c r="H1045" s="161"/>
      <c r="I1045" s="161"/>
      <c r="J1045" s="106"/>
      <c r="K1045" s="133"/>
    </row>
    <row r="1046" spans="1:11" ht="12.75">
      <c r="A1046" s="189">
        <f t="shared" si="78"/>
        <v>955</v>
      </c>
      <c r="B1046" s="4"/>
      <c r="C1046" s="84" t="s">
        <v>175</v>
      </c>
      <c r="D1046" s="26"/>
      <c r="E1046" s="48"/>
      <c r="F1046" s="161">
        <v>1060</v>
      </c>
      <c r="G1046" s="161"/>
      <c r="H1046" s="161">
        <v>1060</v>
      </c>
      <c r="I1046" s="161">
        <v>890</v>
      </c>
      <c r="J1046" s="106">
        <f>I1046/H1046</f>
        <v>0.839622641509434</v>
      </c>
      <c r="K1046" s="133">
        <f>I1046/I$54</f>
        <v>2.6908034892020114E-05</v>
      </c>
    </row>
    <row r="1047" spans="1:11" ht="12.75">
      <c r="A1047" s="189">
        <f t="shared" si="78"/>
        <v>956</v>
      </c>
      <c r="B1047" s="4"/>
      <c r="C1047" s="84" t="s">
        <v>52</v>
      </c>
      <c r="D1047" s="26"/>
      <c r="E1047" s="48"/>
      <c r="F1047" s="161">
        <v>600</v>
      </c>
      <c r="G1047" s="161"/>
      <c r="H1047" s="161">
        <v>600</v>
      </c>
      <c r="I1047" s="161">
        <v>600</v>
      </c>
      <c r="J1047" s="106">
        <f t="shared" si="79"/>
        <v>1</v>
      </c>
      <c r="K1047" s="133">
        <f t="shared" si="80"/>
        <v>1.8140248241811312E-05</v>
      </c>
    </row>
    <row r="1048" spans="1:11" s="72" customFormat="1" ht="12.75">
      <c r="A1048" s="189">
        <f t="shared" si="78"/>
        <v>957</v>
      </c>
      <c r="B1048" s="58">
        <v>900</v>
      </c>
      <c r="C1048" s="83" t="s">
        <v>145</v>
      </c>
      <c r="D1048" s="60"/>
      <c r="E1048" s="73"/>
      <c r="F1048" s="177"/>
      <c r="G1048" s="177"/>
      <c r="H1048" s="177"/>
      <c r="I1048" s="177"/>
      <c r="J1048" s="106"/>
      <c r="K1048" s="133"/>
    </row>
    <row r="1049" spans="1:11" s="72" customFormat="1" ht="12.75">
      <c r="A1049" s="189">
        <f t="shared" si="78"/>
        <v>958</v>
      </c>
      <c r="B1049" s="63"/>
      <c r="C1049" s="83" t="s">
        <v>146</v>
      </c>
      <c r="D1049" s="60"/>
      <c r="E1049" s="61" t="e">
        <f>#REF!+E1050+E1063+E1075+E1090+E1096</f>
        <v>#REF!</v>
      </c>
      <c r="F1049" s="60">
        <f>+F1050+F1063+F1075+F1090+F1096</f>
        <v>4274681</v>
      </c>
      <c r="G1049" s="60" t="e">
        <f>#REF!+G1050+G1063+#REF!+G1075+G1090+G1096</f>
        <v>#REF!</v>
      </c>
      <c r="H1049" s="60">
        <f>H1050+H1063+H1075+H1090+H1096</f>
        <v>4241604.25</v>
      </c>
      <c r="I1049" s="60">
        <f>I1050+I1063+I1075+I1090+I1096</f>
        <v>2940990</v>
      </c>
      <c r="J1049" s="213">
        <f t="shared" si="76"/>
        <v>0.6933673739128303</v>
      </c>
      <c r="K1049" s="136">
        <f t="shared" si="77"/>
        <v>0.08891714779447442</v>
      </c>
    </row>
    <row r="1050" spans="1:11" s="75" customFormat="1" ht="12.75">
      <c r="A1050" s="189">
        <f t="shared" si="78"/>
        <v>959</v>
      </c>
      <c r="B1050" s="64">
        <v>90003</v>
      </c>
      <c r="C1050" s="70" t="s">
        <v>147</v>
      </c>
      <c r="D1050" s="65"/>
      <c r="E1050" s="66" t="e">
        <f>+#REF!+E1051+E1052</f>
        <v>#REF!</v>
      </c>
      <c r="F1050" s="65">
        <f>+F1051+F1052</f>
        <v>846450</v>
      </c>
      <c r="G1050" s="65" t="e">
        <f>+#REF!+G1051+G1052</f>
        <v>#REF!</v>
      </c>
      <c r="H1050" s="65">
        <f>+H1051+H1052</f>
        <v>846450</v>
      </c>
      <c r="I1050" s="65">
        <f>+I1051+I1052</f>
        <v>895500</v>
      </c>
      <c r="J1050" s="217">
        <f t="shared" si="76"/>
        <v>1.0579479000531633</v>
      </c>
      <c r="K1050" s="139">
        <f t="shared" si="77"/>
        <v>0.027074320500903384</v>
      </c>
    </row>
    <row r="1051" spans="1:11" s="75" customFormat="1" ht="12.75">
      <c r="A1051" s="189">
        <f t="shared" si="78"/>
        <v>960</v>
      </c>
      <c r="B1051" s="14">
        <v>4210</v>
      </c>
      <c r="C1051" s="84" t="s">
        <v>162</v>
      </c>
      <c r="D1051" s="65"/>
      <c r="E1051" s="88">
        <v>30000</v>
      </c>
      <c r="F1051" s="170">
        <v>10150</v>
      </c>
      <c r="G1051" s="161">
        <f>H1051-F1051</f>
        <v>0</v>
      </c>
      <c r="H1051" s="170">
        <v>10150</v>
      </c>
      <c r="I1051" s="170">
        <v>10000</v>
      </c>
      <c r="J1051" s="106">
        <f>I1051/H1051</f>
        <v>0.9852216748768473</v>
      </c>
      <c r="K1051" s="133">
        <f>I1051/I$54</f>
        <v>0.0003023374706968552</v>
      </c>
    </row>
    <row r="1052" spans="1:11" ht="12.75">
      <c r="A1052" s="189">
        <f t="shared" si="78"/>
        <v>961</v>
      </c>
      <c r="B1052" s="12">
        <v>4300</v>
      </c>
      <c r="C1052" s="84" t="s">
        <v>160</v>
      </c>
      <c r="D1052" s="26"/>
      <c r="E1052" s="49">
        <f>SUM(E1054:E1061)</f>
        <v>666200</v>
      </c>
      <c r="F1052" s="24">
        <f>SUM(F1054:F1062)</f>
        <v>836300</v>
      </c>
      <c r="G1052" s="24">
        <f>SUM(G1054:G1061)</f>
        <v>0</v>
      </c>
      <c r="H1052" s="24">
        <f>SUM(H1054:H1062)</f>
        <v>836300</v>
      </c>
      <c r="I1052" s="24">
        <f>SUM(I1054:I1062)</f>
        <v>885500</v>
      </c>
      <c r="J1052" s="106">
        <f t="shared" si="76"/>
        <v>1.0588305631950257</v>
      </c>
      <c r="K1052" s="133">
        <f t="shared" si="77"/>
        <v>0.02677198303020653</v>
      </c>
    </row>
    <row r="1053" spans="1:11" ht="12.75">
      <c r="A1053" s="189">
        <f t="shared" si="78"/>
        <v>962</v>
      </c>
      <c r="B1053" s="55"/>
      <c r="C1053" s="84" t="s">
        <v>16</v>
      </c>
      <c r="D1053" s="26"/>
      <c r="E1053" s="48"/>
      <c r="F1053" s="161"/>
      <c r="G1053" s="161"/>
      <c r="H1053" s="161"/>
      <c r="I1053" s="161"/>
      <c r="J1053" s="106"/>
      <c r="K1053" s="133"/>
    </row>
    <row r="1054" spans="1:11" ht="12.75">
      <c r="A1054" s="189">
        <f t="shared" si="78"/>
        <v>963</v>
      </c>
      <c r="B1054" s="13"/>
      <c r="C1054" s="84" t="s">
        <v>335</v>
      </c>
      <c r="D1054" s="26"/>
      <c r="E1054" s="48">
        <v>500000</v>
      </c>
      <c r="F1054" s="161">
        <v>343154.91</v>
      </c>
      <c r="G1054" s="161">
        <f>H1054-F1054</f>
        <v>0</v>
      </c>
      <c r="H1054" s="161">
        <v>343154.91</v>
      </c>
      <c r="I1054" s="161">
        <f>350000-15000</f>
        <v>335000</v>
      </c>
      <c r="J1054" s="106">
        <f t="shared" si="76"/>
        <v>0.9762354850175392</v>
      </c>
      <c r="K1054" s="133">
        <f t="shared" si="77"/>
        <v>0.01012830526834465</v>
      </c>
    </row>
    <row r="1055" spans="1:11" ht="12.75">
      <c r="A1055" s="189">
        <f t="shared" si="78"/>
        <v>964</v>
      </c>
      <c r="B1055" s="4"/>
      <c r="C1055" s="84" t="s">
        <v>22</v>
      </c>
      <c r="D1055" s="26"/>
      <c r="E1055" s="48">
        <v>100000</v>
      </c>
      <c r="F1055" s="161">
        <v>105354</v>
      </c>
      <c r="G1055" s="161">
        <f aca="true" t="shared" si="81" ref="G1055:G1065">H1055-F1055</f>
        <v>0</v>
      </c>
      <c r="H1055" s="161">
        <v>105354</v>
      </c>
      <c r="I1055" s="161">
        <v>108000</v>
      </c>
      <c r="J1055" s="106">
        <f t="shared" si="76"/>
        <v>1.0251153254741159</v>
      </c>
      <c r="K1055" s="133">
        <f t="shared" si="77"/>
        <v>0.0032652446835260366</v>
      </c>
    </row>
    <row r="1056" spans="1:11" ht="12.75">
      <c r="A1056" s="189">
        <f t="shared" si="78"/>
        <v>965</v>
      </c>
      <c r="B1056" s="4"/>
      <c r="C1056" s="84" t="s">
        <v>23</v>
      </c>
      <c r="D1056" s="26"/>
      <c r="E1056" s="48">
        <v>50000</v>
      </c>
      <c r="F1056" s="161">
        <v>84717.09</v>
      </c>
      <c r="G1056" s="161">
        <f t="shared" si="81"/>
        <v>0</v>
      </c>
      <c r="H1056" s="161">
        <v>84717.09</v>
      </c>
      <c r="I1056" s="161">
        <v>86000</v>
      </c>
      <c r="J1056" s="106">
        <f t="shared" si="76"/>
        <v>1.0151434616085138</v>
      </c>
      <c r="K1056" s="133">
        <f t="shared" si="77"/>
        <v>0.002600102247992955</v>
      </c>
    </row>
    <row r="1057" spans="1:11" ht="12.75">
      <c r="A1057" s="189">
        <f t="shared" si="78"/>
        <v>966</v>
      </c>
      <c r="B1057" s="4"/>
      <c r="C1057" s="84" t="s">
        <v>479</v>
      </c>
      <c r="D1057" s="26"/>
      <c r="E1057" s="48"/>
      <c r="F1057" s="161">
        <v>38574</v>
      </c>
      <c r="G1057" s="161"/>
      <c r="H1057" s="161">
        <v>38574</v>
      </c>
      <c r="I1057" s="161">
        <v>39500</v>
      </c>
      <c r="J1057" s="106">
        <f t="shared" si="76"/>
        <v>1.0240058070202727</v>
      </c>
      <c r="K1057" s="133">
        <f t="shared" si="77"/>
        <v>0.0011942330092525781</v>
      </c>
    </row>
    <row r="1058" spans="1:11" ht="12.75">
      <c r="A1058" s="189">
        <f t="shared" si="78"/>
        <v>967</v>
      </c>
      <c r="B1058" s="4"/>
      <c r="C1058" s="84" t="s">
        <v>24</v>
      </c>
      <c r="D1058" s="26"/>
      <c r="E1058" s="48">
        <v>2000</v>
      </c>
      <c r="F1058" s="161">
        <v>142</v>
      </c>
      <c r="G1058" s="161">
        <f t="shared" si="81"/>
        <v>0</v>
      </c>
      <c r="H1058" s="161">
        <v>142</v>
      </c>
      <c r="I1058" s="161">
        <v>1000</v>
      </c>
      <c r="J1058" s="106">
        <f t="shared" si="76"/>
        <v>7.042253521126761</v>
      </c>
      <c r="K1058" s="133">
        <f t="shared" si="77"/>
        <v>3.0233747069685523E-05</v>
      </c>
    </row>
    <row r="1059" spans="1:11" ht="12.75">
      <c r="A1059" s="189">
        <f t="shared" si="78"/>
        <v>968</v>
      </c>
      <c r="B1059" s="4"/>
      <c r="C1059" s="84" t="s">
        <v>25</v>
      </c>
      <c r="D1059" s="26"/>
      <c r="E1059" s="48">
        <v>14200</v>
      </c>
      <c r="F1059" s="161">
        <v>10000</v>
      </c>
      <c r="G1059" s="161">
        <f t="shared" si="81"/>
        <v>0</v>
      </c>
      <c r="H1059" s="161">
        <v>10000</v>
      </c>
      <c r="I1059" s="161">
        <f>10000+15000</f>
        <v>25000</v>
      </c>
      <c r="J1059" s="106">
        <f t="shared" si="76"/>
        <v>2.5</v>
      </c>
      <c r="K1059" s="133">
        <f t="shared" si="77"/>
        <v>0.0007558436767421381</v>
      </c>
    </row>
    <row r="1060" spans="1:11" ht="12.75">
      <c r="A1060" s="189">
        <f t="shared" si="78"/>
        <v>969</v>
      </c>
      <c r="B1060" s="4"/>
      <c r="C1060" s="84" t="s">
        <v>480</v>
      </c>
      <c r="D1060" s="26"/>
      <c r="E1060" s="48"/>
      <c r="F1060" s="161">
        <v>233500</v>
      </c>
      <c r="G1060" s="161">
        <f t="shared" si="81"/>
        <v>0</v>
      </c>
      <c r="H1060" s="161">
        <v>233500</v>
      </c>
      <c r="I1060" s="161">
        <v>238000</v>
      </c>
      <c r="J1060" s="106">
        <f t="shared" si="76"/>
        <v>1.019271948608137</v>
      </c>
      <c r="K1060" s="133">
        <f t="shared" si="77"/>
        <v>0.007195631802585155</v>
      </c>
    </row>
    <row r="1061" spans="1:11" ht="12.75">
      <c r="A1061" s="189">
        <f t="shared" si="78"/>
        <v>970</v>
      </c>
      <c r="B1061" s="4"/>
      <c r="C1061" s="84" t="s">
        <v>508</v>
      </c>
      <c r="D1061" s="26"/>
      <c r="E1061" s="48">
        <v>0</v>
      </c>
      <c r="F1061" s="161">
        <v>10858</v>
      </c>
      <c r="G1061" s="161">
        <f t="shared" si="81"/>
        <v>0</v>
      </c>
      <c r="H1061" s="161">
        <v>10858</v>
      </c>
      <c r="I1061" s="161">
        <f>18000+25000</f>
        <v>43000</v>
      </c>
      <c r="J1061" s="106">
        <f t="shared" si="76"/>
        <v>3.960213667342052</v>
      </c>
      <c r="K1061" s="133">
        <f t="shared" si="77"/>
        <v>0.0013000511239964776</v>
      </c>
    </row>
    <row r="1062" spans="1:11" ht="12.75">
      <c r="A1062" s="189">
        <f t="shared" si="78"/>
        <v>971</v>
      </c>
      <c r="B1062" s="4"/>
      <c r="C1062" s="84" t="s">
        <v>219</v>
      </c>
      <c r="D1062" s="26"/>
      <c r="E1062" s="48"/>
      <c r="F1062" s="161">
        <v>10000</v>
      </c>
      <c r="G1062" s="161"/>
      <c r="H1062" s="161">
        <v>10000</v>
      </c>
      <c r="I1062" s="161">
        <v>10000</v>
      </c>
      <c r="J1062" s="106">
        <f t="shared" si="76"/>
        <v>1</v>
      </c>
      <c r="K1062" s="133">
        <f t="shared" si="77"/>
        <v>0.0003023374706968552</v>
      </c>
    </row>
    <row r="1063" spans="1:11" s="75" customFormat="1" ht="12.75">
      <c r="A1063" s="189">
        <f t="shared" si="78"/>
        <v>972</v>
      </c>
      <c r="B1063" s="64">
        <v>90004</v>
      </c>
      <c r="C1063" s="70" t="s">
        <v>148</v>
      </c>
      <c r="D1063" s="65"/>
      <c r="E1063" s="66">
        <f>E1064+E1065+E1067</f>
        <v>278300</v>
      </c>
      <c r="F1063" s="65">
        <f>F1064+F1065+F1067+F1074</f>
        <v>142700</v>
      </c>
      <c r="G1063" s="65">
        <f>G1064+G1065+G1067+G1074</f>
        <v>0</v>
      </c>
      <c r="H1063" s="65">
        <f>H1064+H1065+H1067+H1074</f>
        <v>142700</v>
      </c>
      <c r="I1063" s="65">
        <f>I1064+I1065+I1067+I1074</f>
        <v>214100</v>
      </c>
      <c r="J1063" s="217">
        <f t="shared" si="76"/>
        <v>1.5003503854239664</v>
      </c>
      <c r="K1063" s="139">
        <f t="shared" si="77"/>
        <v>0.006473045247619671</v>
      </c>
    </row>
    <row r="1064" spans="1:11" s="20" customFormat="1" ht="15" customHeight="1">
      <c r="A1064" s="189">
        <f t="shared" si="78"/>
        <v>973</v>
      </c>
      <c r="B1064" s="14">
        <v>4210</v>
      </c>
      <c r="C1064" s="84" t="s">
        <v>162</v>
      </c>
      <c r="D1064" s="26"/>
      <c r="E1064" s="48">
        <v>50000</v>
      </c>
      <c r="F1064" s="161">
        <v>6600</v>
      </c>
      <c r="G1064" s="161">
        <f t="shared" si="81"/>
        <v>0</v>
      </c>
      <c r="H1064" s="161">
        <v>6600</v>
      </c>
      <c r="I1064" s="161">
        <v>6600</v>
      </c>
      <c r="J1064" s="106">
        <f t="shared" si="76"/>
        <v>1</v>
      </c>
      <c r="K1064" s="133">
        <f t="shared" si="77"/>
        <v>0.00019954273065992444</v>
      </c>
    </row>
    <row r="1065" spans="1:11" s="33" customFormat="1" ht="15" customHeight="1">
      <c r="A1065" s="189">
        <f t="shared" si="78"/>
        <v>974</v>
      </c>
      <c r="B1065" s="14">
        <v>4260</v>
      </c>
      <c r="C1065" s="126" t="s">
        <v>165</v>
      </c>
      <c r="D1065" s="26"/>
      <c r="E1065" s="48">
        <v>5300</v>
      </c>
      <c r="F1065" s="161">
        <v>4000</v>
      </c>
      <c r="G1065" s="161">
        <f t="shared" si="81"/>
        <v>0</v>
      </c>
      <c r="H1065" s="161">
        <v>4000</v>
      </c>
      <c r="I1065" s="161">
        <v>4500</v>
      </c>
      <c r="J1065" s="106">
        <f t="shared" si="76"/>
        <v>1.125</v>
      </c>
      <c r="K1065" s="133">
        <f t="shared" si="77"/>
        <v>0.00013605186181358484</v>
      </c>
    </row>
    <row r="1066" spans="1:11" s="33" customFormat="1" ht="15" customHeight="1">
      <c r="A1066" s="189"/>
      <c r="B1066" s="14"/>
      <c r="C1066" s="126"/>
      <c r="D1066" s="26"/>
      <c r="E1066" s="48"/>
      <c r="F1066" s="161"/>
      <c r="G1066" s="161"/>
      <c r="H1066" s="161"/>
      <c r="I1066" s="161"/>
      <c r="J1066" s="106"/>
      <c r="K1066" s="133"/>
    </row>
    <row r="1067" spans="1:11" ht="15" customHeight="1">
      <c r="A1067" s="189">
        <f>A1065+1</f>
        <v>975</v>
      </c>
      <c r="B1067" s="4">
        <v>4300</v>
      </c>
      <c r="C1067" s="84" t="s">
        <v>160</v>
      </c>
      <c r="D1067" s="26"/>
      <c r="E1067" s="49">
        <f>SUM(E1069:E1072)</f>
        <v>223000</v>
      </c>
      <c r="F1067" s="24">
        <f>SUM(F1069:F1072)</f>
        <v>132100</v>
      </c>
      <c r="G1067" s="24">
        <f>SUM(G1069:G1072)</f>
        <v>0</v>
      </c>
      <c r="H1067" s="24">
        <f>SUM(H1069:H1072)</f>
        <v>132100</v>
      </c>
      <c r="I1067" s="24">
        <f>SUM(I1069:I1072)</f>
        <v>153000</v>
      </c>
      <c r="J1067" s="106">
        <f t="shared" si="76"/>
        <v>1.158213474640424</v>
      </c>
      <c r="K1067" s="133">
        <f t="shared" si="77"/>
        <v>0.004625763301661885</v>
      </c>
    </row>
    <row r="1068" spans="1:11" ht="15" customHeight="1">
      <c r="A1068" s="189">
        <f t="shared" si="78"/>
        <v>976</v>
      </c>
      <c r="B1068" s="4"/>
      <c r="C1068" s="84" t="s">
        <v>16</v>
      </c>
      <c r="D1068" s="26"/>
      <c r="E1068" s="48"/>
      <c r="F1068" s="161"/>
      <c r="G1068" s="161"/>
      <c r="H1068" s="161"/>
      <c r="I1068" s="161"/>
      <c r="J1068" s="106"/>
      <c r="K1068" s="133"/>
    </row>
    <row r="1069" spans="1:11" ht="15" customHeight="1">
      <c r="A1069" s="189">
        <f t="shared" si="78"/>
        <v>977</v>
      </c>
      <c r="B1069" s="4"/>
      <c r="C1069" s="84" t="s">
        <v>21</v>
      </c>
      <c r="D1069" s="26"/>
      <c r="E1069" s="48">
        <v>200000</v>
      </c>
      <c r="F1069" s="161">
        <f>78300+2700</f>
        <v>81000</v>
      </c>
      <c r="G1069" s="161">
        <f aca="true" t="shared" si="82" ref="G1069:G1076">H1069-F1069</f>
        <v>0</v>
      </c>
      <c r="H1069" s="161">
        <v>81000</v>
      </c>
      <c r="I1069" s="161">
        <v>80000</v>
      </c>
      <c r="J1069" s="106">
        <f t="shared" si="76"/>
        <v>0.9876543209876543</v>
      </c>
      <c r="K1069" s="133">
        <f t="shared" si="77"/>
        <v>0.0024186997655748417</v>
      </c>
    </row>
    <row r="1070" spans="1:11" ht="15" customHeight="1">
      <c r="A1070" s="189">
        <f t="shared" si="78"/>
        <v>978</v>
      </c>
      <c r="B1070" s="4"/>
      <c r="C1070" s="84" t="s">
        <v>26</v>
      </c>
      <c r="D1070" s="26"/>
      <c r="E1070" s="48">
        <v>20000</v>
      </c>
      <c r="F1070" s="161">
        <v>30370</v>
      </c>
      <c r="G1070" s="161">
        <f t="shared" si="82"/>
        <v>0</v>
      </c>
      <c r="H1070" s="161">
        <v>30370</v>
      </c>
      <c r="I1070" s="161">
        <v>50000</v>
      </c>
      <c r="J1070" s="106">
        <f t="shared" si="76"/>
        <v>1.6463615409944024</v>
      </c>
      <c r="K1070" s="133">
        <f t="shared" si="77"/>
        <v>0.0015116873534842762</v>
      </c>
    </row>
    <row r="1071" spans="1:11" ht="15" customHeight="1">
      <c r="A1071" s="189">
        <f t="shared" si="78"/>
        <v>979</v>
      </c>
      <c r="B1071" s="4"/>
      <c r="C1071" s="84" t="s">
        <v>218</v>
      </c>
      <c r="D1071" s="26"/>
      <c r="E1071" s="48">
        <v>2000</v>
      </c>
      <c r="F1071" s="161">
        <v>6100</v>
      </c>
      <c r="G1071" s="161">
        <f t="shared" si="82"/>
        <v>0</v>
      </c>
      <c r="H1071" s="161">
        <v>6100</v>
      </c>
      <c r="I1071" s="161">
        <v>8000</v>
      </c>
      <c r="J1071" s="106">
        <f>I1071/H1071</f>
        <v>1.3114754098360655</v>
      </c>
      <c r="K1071" s="133">
        <f t="shared" si="77"/>
        <v>0.00024186997655748418</v>
      </c>
    </row>
    <row r="1072" spans="1:11" ht="15" customHeight="1">
      <c r="A1072" s="189">
        <f t="shared" si="78"/>
        <v>980</v>
      </c>
      <c r="B1072" s="4"/>
      <c r="C1072" s="84" t="s">
        <v>520</v>
      </c>
      <c r="D1072" s="26"/>
      <c r="E1072" s="48">
        <v>1000</v>
      </c>
      <c r="F1072" s="161">
        <v>14630</v>
      </c>
      <c r="G1072" s="161">
        <f t="shared" si="82"/>
        <v>0</v>
      </c>
      <c r="H1072" s="161">
        <v>14630</v>
      </c>
      <c r="I1072" s="161">
        <v>15000</v>
      </c>
      <c r="J1072" s="106">
        <f>I1072/H1072</f>
        <v>1.0252904989747096</v>
      </c>
      <c r="K1072" s="133">
        <f t="shared" si="77"/>
        <v>0.00045350620604528284</v>
      </c>
    </row>
    <row r="1073" spans="1:11" ht="15" customHeight="1">
      <c r="A1073" s="189">
        <f t="shared" si="78"/>
        <v>981</v>
      </c>
      <c r="B1073" s="4">
        <v>6050</v>
      </c>
      <c r="C1073" s="84" t="s">
        <v>230</v>
      </c>
      <c r="D1073" s="26"/>
      <c r="E1073" s="48"/>
      <c r="F1073" s="161"/>
      <c r="G1073" s="161"/>
      <c r="H1073" s="161"/>
      <c r="I1073" s="161"/>
      <c r="J1073" s="106"/>
      <c r="K1073" s="133"/>
    </row>
    <row r="1074" spans="1:11" ht="15" customHeight="1">
      <c r="A1074" s="189">
        <f t="shared" si="78"/>
        <v>982</v>
      </c>
      <c r="B1074" s="4"/>
      <c r="C1074" s="84" t="s">
        <v>564</v>
      </c>
      <c r="D1074" s="26"/>
      <c r="E1074" s="48"/>
      <c r="F1074" s="161">
        <v>0</v>
      </c>
      <c r="G1074" s="161"/>
      <c r="H1074" s="161">
        <v>0</v>
      </c>
      <c r="I1074" s="161">
        <v>50000</v>
      </c>
      <c r="J1074" s="106"/>
      <c r="K1074" s="133">
        <f t="shared" si="77"/>
        <v>0.0015116873534842762</v>
      </c>
    </row>
    <row r="1075" spans="1:11" s="75" customFormat="1" ht="12.75">
      <c r="A1075" s="189">
        <f t="shared" si="78"/>
        <v>983</v>
      </c>
      <c r="B1075" s="64">
        <v>90015</v>
      </c>
      <c r="C1075" s="70" t="s">
        <v>149</v>
      </c>
      <c r="D1075" s="65"/>
      <c r="E1075" s="66" t="e">
        <f>E1076+E1077+E1079</f>
        <v>#REF!</v>
      </c>
      <c r="F1075" s="65">
        <f>F1076+F1077+F1078+F1079+F1083</f>
        <v>468950</v>
      </c>
      <c r="G1075" s="65" t="e">
        <f>G1076+G1077+G1079</f>
        <v>#REF!</v>
      </c>
      <c r="H1075" s="65">
        <f>H1076+H1077+H1078+H1079+H1083</f>
        <v>465873.25</v>
      </c>
      <c r="I1075" s="65">
        <f>I1076+I1077+I1078+I1079+I1083</f>
        <v>365450</v>
      </c>
      <c r="J1075" s="217">
        <f>I1075/H1075</f>
        <v>0.7844408323508594</v>
      </c>
      <c r="K1075" s="139">
        <f t="shared" si="77"/>
        <v>0.011048922866616575</v>
      </c>
    </row>
    <row r="1076" spans="1:11" ht="12.75">
      <c r="A1076" s="189">
        <f t="shared" si="78"/>
        <v>984</v>
      </c>
      <c r="B1076" s="14">
        <v>4210</v>
      </c>
      <c r="C1076" s="84" t="s">
        <v>162</v>
      </c>
      <c r="D1076" s="29"/>
      <c r="E1076" s="48">
        <v>20000</v>
      </c>
      <c r="F1076" s="161">
        <v>0</v>
      </c>
      <c r="G1076" s="161">
        <f t="shared" si="82"/>
        <v>0</v>
      </c>
      <c r="H1076" s="161">
        <v>0</v>
      </c>
      <c r="I1076" s="161">
        <v>0</v>
      </c>
      <c r="J1076" s="106"/>
      <c r="K1076" s="133">
        <f>I1076/I$54</f>
        <v>0</v>
      </c>
    </row>
    <row r="1077" spans="1:11" ht="12.75">
      <c r="A1077" s="189">
        <f t="shared" si="78"/>
        <v>985</v>
      </c>
      <c r="B1077" s="4">
        <v>4260</v>
      </c>
      <c r="C1077" s="84" t="s">
        <v>228</v>
      </c>
      <c r="D1077" s="26"/>
      <c r="E1077" s="49" t="e">
        <f>#REF!</f>
        <v>#REF!</v>
      </c>
      <c r="F1077" s="24">
        <v>233450</v>
      </c>
      <c r="G1077" s="24" t="e">
        <f>#REF!</f>
        <v>#REF!</v>
      </c>
      <c r="H1077" s="24">
        <v>233450</v>
      </c>
      <c r="I1077" s="24">
        <v>233450</v>
      </c>
      <c r="J1077" s="106">
        <f>I1077/H1077</f>
        <v>1</v>
      </c>
      <c r="K1077" s="133">
        <f t="shared" si="77"/>
        <v>0.007058068253418085</v>
      </c>
    </row>
    <row r="1078" spans="1:11" ht="12.75">
      <c r="A1078" s="189">
        <f t="shared" si="78"/>
        <v>986</v>
      </c>
      <c r="B1078" s="4">
        <v>4270</v>
      </c>
      <c r="C1078" s="84" t="s">
        <v>161</v>
      </c>
      <c r="D1078" s="26"/>
      <c r="E1078" s="49"/>
      <c r="F1078" s="24">
        <v>0</v>
      </c>
      <c r="G1078" s="24"/>
      <c r="H1078" s="24">
        <v>0</v>
      </c>
      <c r="I1078" s="24">
        <v>0</v>
      </c>
      <c r="J1078" s="106"/>
      <c r="K1078" s="133">
        <f>I1078/I$54</f>
        <v>0</v>
      </c>
    </row>
    <row r="1079" spans="1:11" ht="12.75">
      <c r="A1079" s="189">
        <f t="shared" si="78"/>
        <v>987</v>
      </c>
      <c r="B1079" s="4">
        <v>4300</v>
      </c>
      <c r="C1079" s="84" t="s">
        <v>160</v>
      </c>
      <c r="D1079" s="26"/>
      <c r="E1079" s="49">
        <f>SUM(E1081:E1082)</f>
        <v>95000</v>
      </c>
      <c r="F1079" s="24">
        <f>SUM(F1081:F1082)</f>
        <v>117000</v>
      </c>
      <c r="G1079" s="24">
        <f>SUM(G1081:G1082)</f>
        <v>0</v>
      </c>
      <c r="H1079" s="24">
        <f>SUM(H1081:H1082)</f>
        <v>117000</v>
      </c>
      <c r="I1079" s="24">
        <f>SUM(I1081:I1082)</f>
        <v>117000</v>
      </c>
      <c r="J1079" s="106">
        <f>I1079/H1079</f>
        <v>1</v>
      </c>
      <c r="K1079" s="133">
        <f>I1079/I$54</f>
        <v>0.003537348407153206</v>
      </c>
    </row>
    <row r="1080" spans="1:11" ht="12.75">
      <c r="A1080" s="189">
        <f t="shared" si="78"/>
        <v>988</v>
      </c>
      <c r="B1080" s="4"/>
      <c r="C1080" s="84" t="s">
        <v>16</v>
      </c>
      <c r="D1080" s="26"/>
      <c r="E1080" s="48"/>
      <c r="F1080" s="161"/>
      <c r="G1080" s="161"/>
      <c r="H1080" s="161"/>
      <c r="I1080" s="161"/>
      <c r="J1080" s="106"/>
      <c r="K1080" s="133"/>
    </row>
    <row r="1081" spans="1:11" ht="12.75">
      <c r="A1081" s="189">
        <f t="shared" si="78"/>
        <v>989</v>
      </c>
      <c r="B1081" s="4"/>
      <c r="C1081" s="84" t="s">
        <v>27</v>
      </c>
      <c r="D1081" s="26"/>
      <c r="E1081" s="48">
        <v>85000</v>
      </c>
      <c r="F1081" s="161">
        <v>106000</v>
      </c>
      <c r="G1081" s="161">
        <f>H1081-F1081</f>
        <v>0</v>
      </c>
      <c r="H1081" s="161">
        <v>106000</v>
      </c>
      <c r="I1081" s="161">
        <v>106000</v>
      </c>
      <c r="J1081" s="106">
        <f>I1081/H1081</f>
        <v>1</v>
      </c>
      <c r="K1081" s="133">
        <f>I1081/I$54</f>
        <v>0.0032047771893866654</v>
      </c>
    </row>
    <row r="1082" spans="1:11" ht="12.75">
      <c r="A1082" s="189">
        <f t="shared" si="78"/>
        <v>990</v>
      </c>
      <c r="B1082" s="4"/>
      <c r="C1082" s="84" t="s">
        <v>336</v>
      </c>
      <c r="D1082" s="26"/>
      <c r="E1082" s="48">
        <v>10000</v>
      </c>
      <c r="F1082" s="161">
        <v>11000</v>
      </c>
      <c r="G1082" s="161">
        <f>H1082-F1082</f>
        <v>0</v>
      </c>
      <c r="H1082" s="161">
        <v>11000</v>
      </c>
      <c r="I1082" s="161">
        <v>11000</v>
      </c>
      <c r="J1082" s="106">
        <f>I1082/H1082</f>
        <v>1</v>
      </c>
      <c r="K1082" s="133">
        <f>I1082/I$54</f>
        <v>0.00033257121776654073</v>
      </c>
    </row>
    <row r="1083" spans="1:11" ht="12.75">
      <c r="A1083" s="189">
        <f t="shared" si="78"/>
        <v>991</v>
      </c>
      <c r="B1083" s="4">
        <v>6050</v>
      </c>
      <c r="C1083" s="84" t="s">
        <v>235</v>
      </c>
      <c r="D1083" s="26"/>
      <c r="E1083" s="48"/>
      <c r="F1083" s="161">
        <f>SUM(F1085:F1089)</f>
        <v>118500</v>
      </c>
      <c r="G1083" s="161">
        <f>SUM(G1085:G1089)</f>
        <v>0</v>
      </c>
      <c r="H1083" s="161">
        <f>SUM(H1085:H1089)</f>
        <v>115423.25</v>
      </c>
      <c r="I1083" s="161">
        <f>SUM(I1085:I1089)</f>
        <v>15000</v>
      </c>
      <c r="J1083" s="106">
        <f>I1083/H1083</f>
        <v>0.12995648623652514</v>
      </c>
      <c r="K1083" s="133">
        <f>I1083/I$54</f>
        <v>0.00045350620604528284</v>
      </c>
    </row>
    <row r="1084" spans="1:11" ht="12.75">
      <c r="A1084" s="189">
        <f t="shared" si="78"/>
        <v>992</v>
      </c>
      <c r="B1084" s="4"/>
      <c r="C1084" s="84" t="s">
        <v>16</v>
      </c>
      <c r="D1084" s="26"/>
      <c r="E1084" s="48"/>
      <c r="F1084" s="161"/>
      <c r="G1084" s="161"/>
      <c r="H1084" s="161"/>
      <c r="I1084" s="161"/>
      <c r="J1084" s="106"/>
      <c r="K1084" s="133"/>
    </row>
    <row r="1085" spans="1:11" ht="12.75">
      <c r="A1085" s="189">
        <f t="shared" si="78"/>
        <v>993</v>
      </c>
      <c r="B1085" s="4"/>
      <c r="C1085" s="84" t="s">
        <v>357</v>
      </c>
      <c r="D1085" s="26"/>
      <c r="E1085" s="48"/>
      <c r="F1085" s="161">
        <v>23000</v>
      </c>
      <c r="G1085" s="161"/>
      <c r="H1085" s="161">
        <v>22852.62</v>
      </c>
      <c r="I1085" s="161">
        <v>0</v>
      </c>
      <c r="J1085" s="106"/>
      <c r="K1085" s="133">
        <f aca="true" t="shared" si="83" ref="K1085:K1090">I1085/I$54</f>
        <v>0</v>
      </c>
    </row>
    <row r="1086" spans="1:11" ht="12.75">
      <c r="A1086" s="189">
        <f t="shared" si="78"/>
        <v>994</v>
      </c>
      <c r="B1086" s="4"/>
      <c r="C1086" s="84" t="s">
        <v>350</v>
      </c>
      <c r="D1086" s="26"/>
      <c r="E1086" s="48"/>
      <c r="F1086" s="161">
        <v>52000</v>
      </c>
      <c r="G1086" s="161"/>
      <c r="H1086" s="161">
        <v>51143.21</v>
      </c>
      <c r="I1086" s="161">
        <v>0</v>
      </c>
      <c r="J1086" s="106"/>
      <c r="K1086" s="133">
        <f t="shared" si="83"/>
        <v>0</v>
      </c>
    </row>
    <row r="1087" spans="1:11" ht="12.75">
      <c r="A1087" s="189">
        <f t="shared" si="78"/>
        <v>995</v>
      </c>
      <c r="B1087" s="4"/>
      <c r="C1087" s="84" t="s">
        <v>351</v>
      </c>
      <c r="D1087" s="26"/>
      <c r="E1087" s="48"/>
      <c r="F1087" s="161">
        <v>34000</v>
      </c>
      <c r="G1087" s="161"/>
      <c r="H1087" s="161">
        <v>33718.81</v>
      </c>
      <c r="I1087" s="161">
        <v>0</v>
      </c>
      <c r="J1087" s="106"/>
      <c r="K1087" s="133">
        <f t="shared" si="83"/>
        <v>0</v>
      </c>
    </row>
    <row r="1088" spans="1:11" ht="12.75">
      <c r="A1088" s="189">
        <f t="shared" si="78"/>
        <v>996</v>
      </c>
      <c r="B1088" s="4"/>
      <c r="C1088" s="84" t="s">
        <v>481</v>
      </c>
      <c r="D1088" s="26"/>
      <c r="E1088" s="48"/>
      <c r="F1088" s="161">
        <v>9500</v>
      </c>
      <c r="G1088" s="161"/>
      <c r="H1088" s="161">
        <v>7708.61</v>
      </c>
      <c r="I1088" s="161">
        <v>0</v>
      </c>
      <c r="J1088" s="106"/>
      <c r="K1088" s="133">
        <f t="shared" si="83"/>
        <v>0</v>
      </c>
    </row>
    <row r="1089" spans="1:11" ht="12.75">
      <c r="A1089" s="189">
        <f t="shared" si="78"/>
        <v>997</v>
      </c>
      <c r="B1089" s="4"/>
      <c r="C1089" s="84" t="s">
        <v>544</v>
      </c>
      <c r="D1089" s="26"/>
      <c r="E1089" s="48"/>
      <c r="F1089" s="161">
        <v>0</v>
      </c>
      <c r="G1089" s="161"/>
      <c r="H1089" s="161">
        <v>0</v>
      </c>
      <c r="I1089" s="161">
        <v>15000</v>
      </c>
      <c r="J1089" s="106"/>
      <c r="K1089" s="133">
        <f t="shared" si="83"/>
        <v>0.00045350620604528284</v>
      </c>
    </row>
    <row r="1090" spans="1:11" s="75" customFormat="1" ht="12.75">
      <c r="A1090" s="189">
        <f t="shared" si="78"/>
        <v>998</v>
      </c>
      <c r="B1090" s="64">
        <v>90017</v>
      </c>
      <c r="C1090" s="70" t="s">
        <v>210</v>
      </c>
      <c r="D1090" s="65"/>
      <c r="E1090" s="74">
        <f>E1092</f>
        <v>0</v>
      </c>
      <c r="F1090" s="174">
        <f>F1092+F1093</f>
        <v>170622</v>
      </c>
      <c r="G1090" s="174">
        <f>G1092</f>
        <v>0</v>
      </c>
      <c r="H1090" s="174">
        <f>H1092+H1093</f>
        <v>170622</v>
      </c>
      <c r="I1090" s="174">
        <f>I1092+I1093</f>
        <v>150000</v>
      </c>
      <c r="J1090" s="217">
        <f>I1090/H1090</f>
        <v>0.8791363364630587</v>
      </c>
      <c r="K1090" s="139">
        <f t="shared" si="83"/>
        <v>0.004535062060452829</v>
      </c>
    </row>
    <row r="1091" spans="1:11" ht="12.75">
      <c r="A1091" s="189">
        <f t="shared" si="78"/>
        <v>999</v>
      </c>
      <c r="B1091" s="4">
        <v>2650</v>
      </c>
      <c r="C1091" s="84" t="s">
        <v>181</v>
      </c>
      <c r="D1091" s="26"/>
      <c r="E1091" s="48"/>
      <c r="F1091" s="161"/>
      <c r="G1091" s="161"/>
      <c r="H1091" s="161"/>
      <c r="I1091" s="161"/>
      <c r="J1091" s="106"/>
      <c r="K1091" s="133"/>
    </row>
    <row r="1092" spans="1:11" ht="12.75">
      <c r="A1092" s="189">
        <f t="shared" si="78"/>
        <v>1000</v>
      </c>
      <c r="B1092" s="4"/>
      <c r="C1092" s="84" t="s">
        <v>482</v>
      </c>
      <c r="D1092" s="26"/>
      <c r="E1092" s="48">
        <v>0</v>
      </c>
      <c r="F1092" s="161">
        <v>170622</v>
      </c>
      <c r="G1092" s="161">
        <v>0</v>
      </c>
      <c r="H1092" s="161">
        <v>170622</v>
      </c>
      <c r="I1092" s="161">
        <v>150000</v>
      </c>
      <c r="J1092" s="106">
        <f>I1092/H1092</f>
        <v>0.8791363364630587</v>
      </c>
      <c r="K1092" s="133">
        <f>I1092/I$54</f>
        <v>0.004535062060452829</v>
      </c>
    </row>
    <row r="1093" spans="1:11" ht="12.75">
      <c r="A1093" s="189">
        <f t="shared" si="78"/>
        <v>1001</v>
      </c>
      <c r="B1093" s="4">
        <v>6210</v>
      </c>
      <c r="C1093" s="84" t="s">
        <v>242</v>
      </c>
      <c r="D1093" s="26"/>
      <c r="E1093" s="48"/>
      <c r="F1093" s="161">
        <f>SUM(F1095:F1095)</f>
        <v>0</v>
      </c>
      <c r="G1093" s="161"/>
      <c r="H1093" s="161">
        <f>SUM(H1095:H1095)</f>
        <v>0</v>
      </c>
      <c r="I1093" s="161">
        <f>SUM(I1095:I1095)</f>
        <v>0</v>
      </c>
      <c r="J1093" s="106"/>
      <c r="K1093" s="133">
        <f>I1093/I$54</f>
        <v>0</v>
      </c>
    </row>
    <row r="1094" spans="1:11" ht="12.75">
      <c r="A1094" s="189">
        <f t="shared" si="78"/>
        <v>1002</v>
      </c>
      <c r="B1094" s="4"/>
      <c r="C1094" s="84" t="s">
        <v>16</v>
      </c>
      <c r="D1094" s="26"/>
      <c r="E1094" s="48"/>
      <c r="F1094" s="161"/>
      <c r="G1094" s="161"/>
      <c r="H1094" s="161"/>
      <c r="I1094" s="161"/>
      <c r="J1094" s="106"/>
      <c r="K1094" s="133"/>
    </row>
    <row r="1095" spans="1:11" ht="12.75">
      <c r="A1095" s="189">
        <f aca="true" t="shared" si="84" ref="A1095:A1199">A1094+1</f>
        <v>1003</v>
      </c>
      <c r="B1095" s="4"/>
      <c r="C1095" s="84" t="s">
        <v>250</v>
      </c>
      <c r="D1095" s="26"/>
      <c r="E1095" s="48"/>
      <c r="F1095" s="161">
        <v>0</v>
      </c>
      <c r="G1095" s="161"/>
      <c r="H1095" s="161">
        <v>0</v>
      </c>
      <c r="I1095" s="161">
        <v>0</v>
      </c>
      <c r="J1095" s="106"/>
      <c r="K1095" s="133">
        <f>I1095/I$54</f>
        <v>0</v>
      </c>
    </row>
    <row r="1096" spans="1:11" s="75" customFormat="1" ht="12.75">
      <c r="A1096" s="189">
        <f t="shared" si="84"/>
        <v>1004</v>
      </c>
      <c r="B1096" s="64">
        <v>90095</v>
      </c>
      <c r="C1096" s="70" t="s">
        <v>28</v>
      </c>
      <c r="D1096" s="65"/>
      <c r="E1096" s="66" t="e">
        <f>E1107+#REF!</f>
        <v>#REF!</v>
      </c>
      <c r="F1096" s="65">
        <f>F1102+F1104+F1105+F1106+F1107+F1114+F1123+F1128+F1133+F1139</f>
        <v>2645959</v>
      </c>
      <c r="G1096" s="65">
        <f>G1104+G1105+G1106+G1107+G1114+G1123+G1128+G1133+G1139</f>
        <v>0</v>
      </c>
      <c r="H1096" s="65">
        <f>H1102+H1104+H1105+H1106+H1107+H1114+H1123+H1128+H1133+H1139</f>
        <v>2615959</v>
      </c>
      <c r="I1096" s="65">
        <f>I1102+I1104+I1105+I1106+I1107+I1114+I1123+I1128+I1133+I1139</f>
        <v>1315940</v>
      </c>
      <c r="J1096" s="217">
        <f>I1096/H1096</f>
        <v>0.5030430522802536</v>
      </c>
      <c r="K1096" s="139">
        <f>I1096/I$54</f>
        <v>0.039785797118881965</v>
      </c>
    </row>
    <row r="1097" spans="1:11" s="239" customFormat="1" ht="12.75">
      <c r="A1097" s="189"/>
      <c r="B1097" s="243">
        <v>2310</v>
      </c>
      <c r="C1097" s="42" t="s">
        <v>600</v>
      </c>
      <c r="D1097" s="171"/>
      <c r="E1097" s="159"/>
      <c r="F1097" s="171"/>
      <c r="G1097" s="171"/>
      <c r="H1097" s="171"/>
      <c r="I1097" s="171"/>
      <c r="J1097" s="218"/>
      <c r="K1097" s="158"/>
    </row>
    <row r="1098" spans="1:11" s="239" customFormat="1" ht="12.75">
      <c r="A1098" s="189"/>
      <c r="B1098" s="242"/>
      <c r="C1098" s="42" t="s">
        <v>601</v>
      </c>
      <c r="D1098" s="171"/>
      <c r="E1098" s="159"/>
      <c r="F1098" s="171"/>
      <c r="G1098" s="171"/>
      <c r="H1098" s="171"/>
      <c r="I1098" s="171"/>
      <c r="J1098" s="218"/>
      <c r="K1098" s="158"/>
    </row>
    <row r="1099" spans="1:11" s="239" customFormat="1" ht="12.75">
      <c r="A1099" s="189"/>
      <c r="B1099" s="242"/>
      <c r="C1099" s="42" t="s">
        <v>602</v>
      </c>
      <c r="D1099" s="171"/>
      <c r="E1099" s="159"/>
      <c r="F1099" s="171"/>
      <c r="G1099" s="171"/>
      <c r="H1099" s="171"/>
      <c r="I1099" s="171"/>
      <c r="J1099" s="218"/>
      <c r="K1099" s="158"/>
    </row>
    <row r="1100" spans="1:11" s="239" customFormat="1" ht="12.75">
      <c r="A1100" s="189"/>
      <c r="B1100" s="242"/>
      <c r="C1100" s="42" t="s">
        <v>603</v>
      </c>
      <c r="D1100" s="171"/>
      <c r="E1100" s="159"/>
      <c r="F1100" s="171"/>
      <c r="G1100" s="171"/>
      <c r="H1100" s="171"/>
      <c r="I1100" s="171"/>
      <c r="J1100" s="218"/>
      <c r="K1100" s="158"/>
    </row>
    <row r="1101" spans="1:11" s="239" customFormat="1" ht="12.75">
      <c r="A1101" s="189"/>
      <c r="B1101" s="242"/>
      <c r="C1101" s="42" t="s">
        <v>604</v>
      </c>
      <c r="D1101" s="171"/>
      <c r="E1101" s="159"/>
      <c r="F1101" s="171"/>
      <c r="G1101" s="171"/>
      <c r="H1101" s="171"/>
      <c r="I1101" s="171"/>
      <c r="J1101" s="218"/>
      <c r="K1101" s="158"/>
    </row>
    <row r="1102" spans="1:11" s="239" customFormat="1" ht="12.75">
      <c r="A1102" s="189"/>
      <c r="B1102" s="242"/>
      <c r="C1102" s="42" t="s">
        <v>605</v>
      </c>
      <c r="D1102" s="171"/>
      <c r="E1102" s="159"/>
      <c r="F1102" s="171">
        <v>0</v>
      </c>
      <c r="G1102" s="171"/>
      <c r="H1102" s="171">
        <v>0</v>
      </c>
      <c r="I1102" s="171">
        <v>20000</v>
      </c>
      <c r="J1102" s="218"/>
      <c r="K1102" s="133">
        <f>I1102/I$54</f>
        <v>0.0006046749413937104</v>
      </c>
    </row>
    <row r="1103" spans="1:11" s="75" customFormat="1" ht="12.75">
      <c r="A1103" s="189">
        <f>A1096+1</f>
        <v>1005</v>
      </c>
      <c r="B1103" s="160">
        <v>2620</v>
      </c>
      <c r="C1103" s="42" t="s">
        <v>483</v>
      </c>
      <c r="D1103" s="171"/>
      <c r="E1103" s="159"/>
      <c r="F1103" s="171"/>
      <c r="G1103" s="171"/>
      <c r="H1103" s="171"/>
      <c r="I1103" s="171"/>
      <c r="J1103" s="218"/>
      <c r="K1103" s="158"/>
    </row>
    <row r="1104" spans="1:11" s="75" customFormat="1" ht="12.75">
      <c r="A1104" s="189">
        <f>A1103+1</f>
        <v>1006</v>
      </c>
      <c r="B1104" s="157"/>
      <c r="C1104" s="42" t="s">
        <v>484</v>
      </c>
      <c r="D1104" s="171"/>
      <c r="E1104" s="159"/>
      <c r="F1104" s="171">
        <f>40000-10000</f>
        <v>30000</v>
      </c>
      <c r="G1104" s="171"/>
      <c r="H1104" s="171">
        <v>0</v>
      </c>
      <c r="I1104" s="171">
        <v>0</v>
      </c>
      <c r="J1104" s="218"/>
      <c r="K1104" s="133">
        <f>I1104/I$54</f>
        <v>0</v>
      </c>
    </row>
    <row r="1105" spans="1:11" s="62" customFormat="1" ht="12.75">
      <c r="A1105" s="189">
        <f t="shared" si="84"/>
        <v>1007</v>
      </c>
      <c r="B1105" s="111">
        <v>4210</v>
      </c>
      <c r="C1105" s="112" t="s">
        <v>267</v>
      </c>
      <c r="D1105" s="89"/>
      <c r="E1105" s="87"/>
      <c r="F1105" s="89">
        <v>0</v>
      </c>
      <c r="G1105" s="89"/>
      <c r="H1105" s="89">
        <v>0</v>
      </c>
      <c r="I1105" s="89">
        <v>0</v>
      </c>
      <c r="J1105" s="106"/>
      <c r="K1105" s="133">
        <f>I1105/I$54</f>
        <v>0</v>
      </c>
    </row>
    <row r="1106" spans="1:11" s="62" customFormat="1" ht="12.75">
      <c r="A1106" s="189">
        <f t="shared" si="84"/>
        <v>1008</v>
      </c>
      <c r="B1106" s="111">
        <v>4260</v>
      </c>
      <c r="C1106" s="112" t="s">
        <v>526</v>
      </c>
      <c r="D1106" s="89"/>
      <c r="E1106" s="87"/>
      <c r="F1106" s="89">
        <v>0</v>
      </c>
      <c r="G1106" s="89"/>
      <c r="H1106" s="89">
        <v>0</v>
      </c>
      <c r="I1106" s="89">
        <v>22500</v>
      </c>
      <c r="J1106" s="106"/>
      <c r="K1106" s="133">
        <f>I1106/I$54</f>
        <v>0.0006802593090679243</v>
      </c>
    </row>
    <row r="1107" spans="1:11" ht="12.75">
      <c r="A1107" s="189">
        <f t="shared" si="84"/>
        <v>1009</v>
      </c>
      <c r="B1107" s="4">
        <v>4300</v>
      </c>
      <c r="C1107" s="84" t="s">
        <v>160</v>
      </c>
      <c r="D1107" s="26"/>
      <c r="E1107" s="49">
        <f>SUM(E1109:E1109)</f>
        <v>0</v>
      </c>
      <c r="F1107" s="24">
        <f>SUM(F1109:F1113)</f>
        <v>30384</v>
      </c>
      <c r="G1107" s="24">
        <f>SUM(G1109:G1113)</f>
        <v>0</v>
      </c>
      <c r="H1107" s="24">
        <f>SUM(H1109:H1113)</f>
        <v>30384</v>
      </c>
      <c r="I1107" s="24">
        <f>SUM(I1109:I1113)</f>
        <v>43000</v>
      </c>
      <c r="J1107" s="106">
        <f>I1107/H1107</f>
        <v>1.4152185360716167</v>
      </c>
      <c r="K1107" s="133">
        <f>I1107/I$54</f>
        <v>0.0013000511239964776</v>
      </c>
    </row>
    <row r="1108" spans="1:11" ht="12.75">
      <c r="A1108" s="189">
        <f t="shared" si="84"/>
        <v>1010</v>
      </c>
      <c r="B1108" s="4"/>
      <c r="C1108" s="84" t="s">
        <v>16</v>
      </c>
      <c r="D1108" s="26"/>
      <c r="E1108" s="103"/>
      <c r="F1108" s="176"/>
      <c r="G1108" s="176"/>
      <c r="H1108" s="176"/>
      <c r="I1108" s="176"/>
      <c r="J1108" s="106"/>
      <c r="K1108" s="133"/>
    </row>
    <row r="1109" spans="1:11" ht="12.75">
      <c r="A1109" s="189">
        <f t="shared" si="84"/>
        <v>1011</v>
      </c>
      <c r="B1109" s="4"/>
      <c r="C1109" s="84" t="s">
        <v>280</v>
      </c>
      <c r="D1109" s="26"/>
      <c r="E1109" s="48">
        <v>0</v>
      </c>
      <c r="F1109" s="161">
        <v>6600</v>
      </c>
      <c r="G1109" s="161">
        <v>0</v>
      </c>
      <c r="H1109" s="161">
        <v>6600</v>
      </c>
      <c r="I1109" s="161">
        <f>45000-20000</f>
        <v>25000</v>
      </c>
      <c r="J1109" s="106">
        <f>I1109/H1109</f>
        <v>3.787878787878788</v>
      </c>
      <c r="K1109" s="133">
        <f>I1109/I$54</f>
        <v>0.0007558436767421381</v>
      </c>
    </row>
    <row r="1110" spans="1:11" ht="12.75">
      <c r="A1110" s="189">
        <f t="shared" si="84"/>
        <v>1012</v>
      </c>
      <c r="B1110" s="4"/>
      <c r="C1110" s="84" t="s">
        <v>507</v>
      </c>
      <c r="D1110" s="26"/>
      <c r="E1110" s="48"/>
      <c r="F1110" s="161">
        <v>0</v>
      </c>
      <c r="G1110" s="161"/>
      <c r="H1110" s="161">
        <v>0</v>
      </c>
      <c r="I1110" s="161">
        <v>0</v>
      </c>
      <c r="J1110" s="106"/>
      <c r="K1110" s="133"/>
    </row>
    <row r="1111" spans="1:11" ht="12.75">
      <c r="A1111" s="189">
        <f t="shared" si="84"/>
        <v>1013</v>
      </c>
      <c r="B1111" s="4"/>
      <c r="C1111" s="224" t="s">
        <v>527</v>
      </c>
      <c r="D1111" s="26"/>
      <c r="E1111" s="48"/>
      <c r="F1111" s="161">
        <v>0</v>
      </c>
      <c r="G1111" s="161"/>
      <c r="H1111" s="161">
        <v>0</v>
      </c>
      <c r="I1111" s="161">
        <v>3000</v>
      </c>
      <c r="J1111" s="106"/>
      <c r="K1111" s="133">
        <f>I1111/I$54</f>
        <v>9.070124120905656E-05</v>
      </c>
    </row>
    <row r="1112" spans="1:11" ht="12.75">
      <c r="A1112" s="189">
        <f t="shared" si="84"/>
        <v>1014</v>
      </c>
      <c r="B1112" s="4"/>
      <c r="C1112" s="84" t="s">
        <v>313</v>
      </c>
      <c r="D1112" s="26"/>
      <c r="E1112" s="48"/>
      <c r="F1112" s="161">
        <v>15000</v>
      </c>
      <c r="G1112" s="161"/>
      <c r="H1112" s="161">
        <v>15000</v>
      </c>
      <c r="I1112" s="161">
        <v>15000</v>
      </c>
      <c r="J1112" s="106">
        <f>I1112/H1112</f>
        <v>1</v>
      </c>
      <c r="K1112" s="133">
        <f>I1112/I$54</f>
        <v>0.00045350620604528284</v>
      </c>
    </row>
    <row r="1113" spans="1:11" ht="12.75">
      <c r="A1113" s="189">
        <f t="shared" si="84"/>
        <v>1015</v>
      </c>
      <c r="B1113" s="4"/>
      <c r="C1113" s="84" t="s">
        <v>366</v>
      </c>
      <c r="D1113" s="26"/>
      <c r="E1113" s="48"/>
      <c r="F1113" s="161">
        <v>8784</v>
      </c>
      <c r="G1113" s="161"/>
      <c r="H1113" s="161">
        <v>8784</v>
      </c>
      <c r="I1113" s="161">
        <v>0</v>
      </c>
      <c r="J1113" s="106"/>
      <c r="K1113" s="133">
        <f>I1113/I$54</f>
        <v>0</v>
      </c>
    </row>
    <row r="1114" spans="1:11" ht="12.75">
      <c r="A1114" s="189">
        <f t="shared" si="84"/>
        <v>1016</v>
      </c>
      <c r="B1114" s="4">
        <v>6050</v>
      </c>
      <c r="C1114" s="84" t="s">
        <v>230</v>
      </c>
      <c r="D1114" s="26"/>
      <c r="E1114" s="48"/>
      <c r="F1114" s="161">
        <f>F1117+F1119+F1121</f>
        <v>1436575</v>
      </c>
      <c r="G1114" s="161">
        <f>SUM(G1117:G1119)</f>
        <v>0</v>
      </c>
      <c r="H1114" s="161">
        <f>H1117+H1119+H1121</f>
        <v>1436575</v>
      </c>
      <c r="I1114" s="161">
        <f>I1117+I1119+I1121</f>
        <v>760000</v>
      </c>
      <c r="J1114" s="106">
        <f>I1114/H1114</f>
        <v>0.5290360753876407</v>
      </c>
      <c r="K1114" s="133">
        <f>I1114/I$54</f>
        <v>0.022977647772960998</v>
      </c>
    </row>
    <row r="1115" spans="1:11" ht="12.75">
      <c r="A1115" s="189">
        <f t="shared" si="84"/>
        <v>1017</v>
      </c>
      <c r="B1115" s="4"/>
      <c r="C1115" s="84" t="s">
        <v>16</v>
      </c>
      <c r="D1115" s="26"/>
      <c r="E1115" s="48"/>
      <c r="F1115" s="161"/>
      <c r="G1115" s="161"/>
      <c r="H1115" s="161"/>
      <c r="I1115" s="161"/>
      <c r="J1115" s="106"/>
      <c r="K1115" s="133"/>
    </row>
    <row r="1116" spans="1:11" ht="12.75">
      <c r="A1116" s="189">
        <f t="shared" si="84"/>
        <v>1018</v>
      </c>
      <c r="B1116" s="4"/>
      <c r="C1116" s="84" t="s">
        <v>545</v>
      </c>
      <c r="D1116" s="26"/>
      <c r="E1116" s="48"/>
      <c r="F1116" s="161"/>
      <c r="G1116" s="161"/>
      <c r="H1116" s="161"/>
      <c r="I1116" s="161"/>
      <c r="J1116" s="106"/>
      <c r="K1116" s="133"/>
    </row>
    <row r="1117" spans="1:11" ht="12.75">
      <c r="A1117" s="189">
        <f t="shared" si="84"/>
        <v>1019</v>
      </c>
      <c r="B1117" s="4"/>
      <c r="C1117" s="84" t="s">
        <v>312</v>
      </c>
      <c r="D1117" s="26"/>
      <c r="E1117" s="48"/>
      <c r="F1117" s="161">
        <v>100000</v>
      </c>
      <c r="G1117" s="161"/>
      <c r="H1117" s="161">
        <v>100000</v>
      </c>
      <c r="I1117" s="161">
        <v>700000</v>
      </c>
      <c r="J1117" s="106">
        <f>I1117/H1117</f>
        <v>7</v>
      </c>
      <c r="K1117" s="133">
        <f>I1117/I$54</f>
        <v>0.021163622948779867</v>
      </c>
    </row>
    <row r="1118" spans="1:11" ht="12.75">
      <c r="A1118" s="189">
        <f t="shared" si="84"/>
        <v>1020</v>
      </c>
      <c r="B1118" s="4"/>
      <c r="C1118" s="84" t="s">
        <v>485</v>
      </c>
      <c r="D1118" s="26"/>
      <c r="E1118" s="48"/>
      <c r="F1118" s="161"/>
      <c r="G1118" s="161"/>
      <c r="H1118" s="161"/>
      <c r="I1118" s="161"/>
      <c r="J1118" s="106"/>
      <c r="K1118" s="133"/>
    </row>
    <row r="1119" spans="1:11" ht="12.75">
      <c r="A1119" s="189">
        <f t="shared" si="84"/>
        <v>1021</v>
      </c>
      <c r="B1119" s="4"/>
      <c r="C1119" s="84" t="s">
        <v>486</v>
      </c>
      <c r="D1119" s="26"/>
      <c r="E1119" s="48"/>
      <c r="F1119" s="161">
        <f>1450000-118915</f>
        <v>1331085</v>
      </c>
      <c r="G1119" s="161"/>
      <c r="H1119" s="161">
        <v>1331085</v>
      </c>
      <c r="I1119" s="161">
        <v>0</v>
      </c>
      <c r="J1119" s="106"/>
      <c r="K1119" s="133">
        <f>I1119/I$54</f>
        <v>0</v>
      </c>
    </row>
    <row r="1120" spans="1:11" ht="12.75">
      <c r="A1120" s="189">
        <f t="shared" si="84"/>
        <v>1022</v>
      </c>
      <c r="B1120" s="4"/>
      <c r="C1120" s="84" t="s">
        <v>532</v>
      </c>
      <c r="D1120" s="26"/>
      <c r="E1120" s="48"/>
      <c r="F1120" s="161"/>
      <c r="G1120" s="161"/>
      <c r="H1120" s="161"/>
      <c r="I1120" s="161"/>
      <c r="J1120" s="106"/>
      <c r="K1120" s="133"/>
    </row>
    <row r="1121" spans="1:11" ht="12.75">
      <c r="A1121" s="189">
        <f t="shared" si="84"/>
        <v>1023</v>
      </c>
      <c r="B1121" s="4"/>
      <c r="C1121" s="84" t="s">
        <v>533</v>
      </c>
      <c r="D1121" s="26"/>
      <c r="E1121" s="48"/>
      <c r="F1121" s="161">
        <v>5490</v>
      </c>
      <c r="G1121" s="161"/>
      <c r="H1121" s="161">
        <v>5490</v>
      </c>
      <c r="I1121" s="161">
        <v>60000</v>
      </c>
      <c r="J1121" s="106">
        <f>I1121/H1121</f>
        <v>10.92896174863388</v>
      </c>
      <c r="K1121" s="133">
        <f>I1121/I$54</f>
        <v>0.0018140248241811313</v>
      </c>
    </row>
    <row r="1122" spans="1:11" ht="12.75">
      <c r="A1122" s="189">
        <f t="shared" si="84"/>
        <v>1024</v>
      </c>
      <c r="B1122" s="4">
        <v>6060</v>
      </c>
      <c r="C1122" s="84" t="s">
        <v>550</v>
      </c>
      <c r="D1122" s="26"/>
      <c r="E1122" s="48"/>
      <c r="F1122" s="161"/>
      <c r="G1122" s="161"/>
      <c r="H1122" s="161"/>
      <c r="I1122" s="161"/>
      <c r="J1122" s="106"/>
      <c r="K1122" s="133"/>
    </row>
    <row r="1123" spans="1:11" ht="12.75">
      <c r="A1123" s="189">
        <f t="shared" si="84"/>
        <v>1025</v>
      </c>
      <c r="B1123" s="4"/>
      <c r="C1123" s="84" t="s">
        <v>565</v>
      </c>
      <c r="D1123" s="26"/>
      <c r="E1123" s="48"/>
      <c r="F1123" s="161">
        <v>0</v>
      </c>
      <c r="G1123" s="161"/>
      <c r="H1123" s="161">
        <v>0</v>
      </c>
      <c r="I1123" s="161">
        <v>70000</v>
      </c>
      <c r="J1123" s="106"/>
      <c r="K1123" s="133">
        <f>I1123/I$54</f>
        <v>0.0021163622948779867</v>
      </c>
    </row>
    <row r="1124" spans="1:11" ht="12.75">
      <c r="A1124" s="189"/>
      <c r="B1124" s="4"/>
      <c r="C1124" s="84"/>
      <c r="D1124" s="26"/>
      <c r="E1124" s="48"/>
      <c r="F1124" s="161"/>
      <c r="G1124" s="161"/>
      <c r="H1124" s="161"/>
      <c r="I1124" s="161"/>
      <c r="J1124" s="106"/>
      <c r="K1124" s="133"/>
    </row>
    <row r="1125" spans="1:11" ht="12.75">
      <c r="A1125" s="189"/>
      <c r="B1125" s="4"/>
      <c r="C1125" s="84"/>
      <c r="D1125" s="26"/>
      <c r="E1125" s="48"/>
      <c r="F1125" s="161"/>
      <c r="G1125" s="161"/>
      <c r="H1125" s="161"/>
      <c r="I1125" s="161"/>
      <c r="J1125" s="106"/>
      <c r="K1125" s="133"/>
    </row>
    <row r="1126" spans="1:11" ht="12.75">
      <c r="A1126" s="189">
        <f>A1123+1</f>
        <v>1026</v>
      </c>
      <c r="B1126" s="4">
        <v>6610</v>
      </c>
      <c r="C1126" s="112" t="s">
        <v>339</v>
      </c>
      <c r="D1126" s="26"/>
      <c r="E1126" s="48"/>
      <c r="F1126" s="161"/>
      <c r="G1126" s="161"/>
      <c r="H1126" s="161"/>
      <c r="I1126" s="161"/>
      <c r="J1126" s="106"/>
      <c r="K1126" s="133"/>
    </row>
    <row r="1127" spans="1:11" ht="12.75">
      <c r="A1127" s="189">
        <f t="shared" si="84"/>
        <v>1027</v>
      </c>
      <c r="B1127" s="4"/>
      <c r="C1127" s="112" t="s">
        <v>340</v>
      </c>
      <c r="D1127" s="26"/>
      <c r="E1127" s="48"/>
      <c r="F1127" s="161"/>
      <c r="G1127" s="161"/>
      <c r="H1127" s="161"/>
      <c r="I1127" s="161"/>
      <c r="J1127" s="106"/>
      <c r="K1127" s="133"/>
    </row>
    <row r="1128" spans="1:11" ht="12.75">
      <c r="A1128" s="189">
        <f t="shared" si="84"/>
        <v>1028</v>
      </c>
      <c r="B1128" s="4"/>
      <c r="C1128" s="112" t="s">
        <v>341</v>
      </c>
      <c r="D1128" s="26"/>
      <c r="E1128" s="48"/>
      <c r="F1128" s="161">
        <v>0</v>
      </c>
      <c r="G1128" s="161"/>
      <c r="H1128" s="161">
        <v>0</v>
      </c>
      <c r="I1128" s="161">
        <v>100440</v>
      </c>
      <c r="J1128" s="106"/>
      <c r="K1128" s="133">
        <f>I1128/I$54</f>
        <v>0.003036677555679214</v>
      </c>
    </row>
    <row r="1129" spans="1:11" ht="12.75">
      <c r="A1129" s="189">
        <f t="shared" si="84"/>
        <v>1029</v>
      </c>
      <c r="B1129" s="4">
        <v>6630</v>
      </c>
      <c r="C1129" s="84" t="s">
        <v>301</v>
      </c>
      <c r="D1129" s="26"/>
      <c r="E1129" s="48"/>
      <c r="F1129" s="161"/>
      <c r="G1129" s="161"/>
      <c r="H1129" s="161"/>
      <c r="I1129" s="161"/>
      <c r="J1129" s="106"/>
      <c r="K1129" s="133"/>
    </row>
    <row r="1130" spans="1:11" ht="12.75">
      <c r="A1130" s="189">
        <f t="shared" si="84"/>
        <v>1030</v>
      </c>
      <c r="B1130" s="4"/>
      <c r="C1130" s="84" t="s">
        <v>302</v>
      </c>
      <c r="D1130" s="26"/>
      <c r="E1130" s="48"/>
      <c r="F1130" s="161"/>
      <c r="G1130" s="161"/>
      <c r="H1130" s="161"/>
      <c r="I1130" s="161"/>
      <c r="J1130" s="106"/>
      <c r="K1130" s="133"/>
    </row>
    <row r="1131" spans="1:11" ht="12.75">
      <c r="A1131" s="189">
        <f t="shared" si="84"/>
        <v>1031</v>
      </c>
      <c r="B1131" s="4"/>
      <c r="C1131" s="84" t="s">
        <v>303</v>
      </c>
      <c r="D1131" s="26"/>
      <c r="E1131" s="48"/>
      <c r="F1131" s="161"/>
      <c r="G1131" s="161"/>
      <c r="H1131" s="161"/>
      <c r="I1131" s="161"/>
      <c r="J1131" s="106"/>
      <c r="K1131" s="133"/>
    </row>
    <row r="1132" spans="1:11" ht="12.75">
      <c r="A1132" s="189">
        <f t="shared" si="84"/>
        <v>1032</v>
      </c>
      <c r="B1132" s="4"/>
      <c r="C1132" s="84" t="s">
        <v>304</v>
      </c>
      <c r="D1132" s="26"/>
      <c r="E1132" s="48"/>
      <c r="F1132" s="161"/>
      <c r="G1132" s="161"/>
      <c r="H1132" s="161"/>
      <c r="I1132" s="161"/>
      <c r="J1132" s="106"/>
      <c r="K1132" s="133"/>
    </row>
    <row r="1133" spans="1:11" ht="12.75">
      <c r="A1133" s="189">
        <f t="shared" si="84"/>
        <v>1033</v>
      </c>
      <c r="B1133" s="4"/>
      <c r="C1133" s="84" t="s">
        <v>305</v>
      </c>
      <c r="D1133" s="26"/>
      <c r="E1133" s="48"/>
      <c r="F1133" s="161">
        <f>1099000+50000</f>
        <v>1149000</v>
      </c>
      <c r="G1133" s="161"/>
      <c r="H1133" s="161">
        <v>1149000</v>
      </c>
      <c r="I1133" s="161">
        <v>0</v>
      </c>
      <c r="J1133" s="106"/>
      <c r="K1133" s="133">
        <f>I1133/I$54</f>
        <v>0</v>
      </c>
    </row>
    <row r="1134" spans="1:11" ht="12.75">
      <c r="A1134" s="189">
        <f t="shared" si="84"/>
        <v>1034</v>
      </c>
      <c r="B1134" s="4">
        <v>6640</v>
      </c>
      <c r="C1134" s="84" t="s">
        <v>546</v>
      </c>
      <c r="D1134" s="26"/>
      <c r="E1134" s="48"/>
      <c r="F1134" s="161"/>
      <c r="G1134" s="161"/>
      <c r="H1134" s="161"/>
      <c r="I1134" s="161"/>
      <c r="J1134" s="106"/>
      <c r="K1134" s="133"/>
    </row>
    <row r="1135" spans="1:11" ht="12.75">
      <c r="A1135" s="189">
        <f t="shared" si="84"/>
        <v>1035</v>
      </c>
      <c r="B1135" s="4"/>
      <c r="C1135" s="84" t="s">
        <v>630</v>
      </c>
      <c r="D1135" s="26"/>
      <c r="E1135" s="48"/>
      <c r="F1135" s="161"/>
      <c r="G1135" s="161"/>
      <c r="H1135" s="161"/>
      <c r="I1135" s="161"/>
      <c r="J1135" s="106"/>
      <c r="K1135" s="133"/>
    </row>
    <row r="1136" spans="1:11" ht="12.75">
      <c r="A1136" s="189">
        <f t="shared" si="84"/>
        <v>1036</v>
      </c>
      <c r="B1136" s="4"/>
      <c r="C1136" s="84" t="s">
        <v>547</v>
      </c>
      <c r="D1136" s="26"/>
      <c r="E1136" s="48"/>
      <c r="F1136" s="161"/>
      <c r="G1136" s="161"/>
      <c r="H1136" s="161"/>
      <c r="I1136" s="161"/>
      <c r="J1136" s="106"/>
      <c r="K1136" s="133"/>
    </row>
    <row r="1137" spans="1:11" ht="12.75">
      <c r="A1137" s="189">
        <f t="shared" si="84"/>
        <v>1037</v>
      </c>
      <c r="B1137" s="4"/>
      <c r="C1137" s="84" t="s">
        <v>303</v>
      </c>
      <c r="D1137" s="26"/>
      <c r="E1137" s="48"/>
      <c r="F1137" s="161"/>
      <c r="G1137" s="161"/>
      <c r="H1137" s="161"/>
      <c r="I1137" s="161"/>
      <c r="J1137" s="106"/>
      <c r="K1137" s="133"/>
    </row>
    <row r="1138" spans="1:11" ht="12.75">
      <c r="A1138" s="189">
        <f t="shared" si="84"/>
        <v>1038</v>
      </c>
      <c r="B1138" s="4"/>
      <c r="C1138" s="84" t="s">
        <v>548</v>
      </c>
      <c r="D1138" s="26"/>
      <c r="E1138" s="48"/>
      <c r="F1138" s="161"/>
      <c r="G1138" s="161"/>
      <c r="H1138" s="161"/>
      <c r="I1138" s="161"/>
      <c r="J1138" s="106"/>
      <c r="K1138" s="133"/>
    </row>
    <row r="1139" spans="1:11" ht="12.75">
      <c r="A1139" s="189">
        <f t="shared" si="84"/>
        <v>1039</v>
      </c>
      <c r="B1139" s="4"/>
      <c r="C1139" s="84" t="s">
        <v>549</v>
      </c>
      <c r="D1139" s="26"/>
      <c r="E1139" s="48"/>
      <c r="F1139" s="161">
        <v>0</v>
      </c>
      <c r="G1139" s="161"/>
      <c r="H1139" s="161">
        <v>0</v>
      </c>
      <c r="I1139" s="161">
        <v>300000</v>
      </c>
      <c r="J1139" s="106"/>
      <c r="K1139" s="133">
        <f>I1139/I$54</f>
        <v>0.009070124120905658</v>
      </c>
    </row>
    <row r="1140" spans="1:11" s="72" customFormat="1" ht="12.75">
      <c r="A1140" s="189">
        <f t="shared" si="84"/>
        <v>1040</v>
      </c>
      <c r="B1140" s="58">
        <v>921</v>
      </c>
      <c r="C1140" s="83" t="s">
        <v>150</v>
      </c>
      <c r="D1140" s="60"/>
      <c r="E1140" s="73"/>
      <c r="F1140" s="177"/>
      <c r="G1140" s="177"/>
      <c r="H1140" s="177"/>
      <c r="I1140" s="177"/>
      <c r="J1140" s="106"/>
      <c r="K1140" s="133"/>
    </row>
    <row r="1141" spans="1:11" s="72" customFormat="1" ht="12.75">
      <c r="A1141" s="189">
        <f t="shared" si="84"/>
        <v>1041</v>
      </c>
      <c r="B1141" s="59"/>
      <c r="C1141" s="83" t="s">
        <v>151</v>
      </c>
      <c r="D1141" s="60"/>
      <c r="E1141" s="61" t="e">
        <f>E1142+E1145+E1157</f>
        <v>#REF!</v>
      </c>
      <c r="F1141" s="60">
        <f>F1142+F1145+F1148+F1157</f>
        <v>1181205</v>
      </c>
      <c r="G1141" s="60" t="e">
        <f>G1142+G1145+G1157</f>
        <v>#REF!</v>
      </c>
      <c r="H1141" s="60">
        <f>H1142+H1145+H1148+H1157</f>
        <v>1181205</v>
      </c>
      <c r="I1141" s="60">
        <f>I1142+I1145+I1148+I1157</f>
        <v>1933000</v>
      </c>
      <c r="J1141" s="218">
        <f>I1141/H1141</f>
        <v>1.6364644579052747</v>
      </c>
      <c r="K1141" s="140">
        <f>I1141/I$54</f>
        <v>0.05844183308570212</v>
      </c>
    </row>
    <row r="1142" spans="1:11" s="75" customFormat="1" ht="12.75">
      <c r="A1142" s="189">
        <f t="shared" si="84"/>
        <v>1042</v>
      </c>
      <c r="B1142" s="64">
        <v>92109</v>
      </c>
      <c r="C1142" s="70" t="s">
        <v>152</v>
      </c>
      <c r="D1142" s="65"/>
      <c r="E1142" s="66" t="e">
        <f>#REF!</f>
        <v>#REF!</v>
      </c>
      <c r="F1142" s="65">
        <f>SUM(F1144:F1144)</f>
        <v>915305</v>
      </c>
      <c r="G1142" s="65" t="e">
        <f>#REF!</f>
        <v>#REF!</v>
      </c>
      <c r="H1142" s="65">
        <f>SUM(H1144:H1144)</f>
        <v>915305</v>
      </c>
      <c r="I1142" s="65">
        <f>SUM(I1144:I1144)</f>
        <v>500000</v>
      </c>
      <c r="J1142" s="217">
        <f>I1142/H1142</f>
        <v>0.5462659987654388</v>
      </c>
      <c r="K1142" s="139">
        <f>I1142/I$54</f>
        <v>0.015116873534842762</v>
      </c>
    </row>
    <row r="1143" spans="1:11" s="62" customFormat="1" ht="12.75">
      <c r="A1143" s="189">
        <f t="shared" si="84"/>
        <v>1043</v>
      </c>
      <c r="B1143" s="90">
        <v>2480</v>
      </c>
      <c r="C1143" s="84" t="s">
        <v>291</v>
      </c>
      <c r="D1143" s="89"/>
      <c r="E1143" s="88"/>
      <c r="F1143" s="170"/>
      <c r="G1143" s="170"/>
      <c r="H1143" s="170"/>
      <c r="I1143" s="170"/>
      <c r="J1143" s="106"/>
      <c r="K1143" s="133"/>
    </row>
    <row r="1144" spans="1:11" s="62" customFormat="1" ht="12.75">
      <c r="A1144" s="189">
        <f t="shared" si="84"/>
        <v>1044</v>
      </c>
      <c r="B1144" s="90"/>
      <c r="C1144" s="84" t="s">
        <v>292</v>
      </c>
      <c r="D1144" s="89"/>
      <c r="E1144" s="88"/>
      <c r="F1144" s="170">
        <v>915305</v>
      </c>
      <c r="G1144" s="170"/>
      <c r="H1144" s="170">
        <v>915305</v>
      </c>
      <c r="I1144" s="170">
        <f>350000+150000</f>
        <v>500000</v>
      </c>
      <c r="J1144" s="106">
        <f>I1144/H1144</f>
        <v>0.5462659987654388</v>
      </c>
      <c r="K1144" s="133">
        <f>I1144/I$54</f>
        <v>0.015116873534842762</v>
      </c>
    </row>
    <row r="1145" spans="1:11" s="75" customFormat="1" ht="12.75" customHeight="1">
      <c r="A1145" s="189">
        <f t="shared" si="84"/>
        <v>1045</v>
      </c>
      <c r="B1145" s="64">
        <v>92116</v>
      </c>
      <c r="C1145" s="70" t="s">
        <v>54</v>
      </c>
      <c r="D1145" s="65"/>
      <c r="E1145" s="74" t="e">
        <f>#REF!</f>
        <v>#REF!</v>
      </c>
      <c r="F1145" s="174">
        <f>SUM(F1147:F1147)</f>
        <v>230900</v>
      </c>
      <c r="G1145" s="174" t="e">
        <f>#REF!</f>
        <v>#REF!</v>
      </c>
      <c r="H1145" s="174">
        <f>SUM(H1147:H1147)</f>
        <v>230900</v>
      </c>
      <c r="I1145" s="174">
        <f>SUM(I1147:I1147)</f>
        <v>255000</v>
      </c>
      <c r="J1145" s="106">
        <f>I1145/H1145</f>
        <v>1.1043741879601559</v>
      </c>
      <c r="K1145" s="133">
        <f>I1145/I$54</f>
        <v>0.007709605502769808</v>
      </c>
    </row>
    <row r="1146" spans="1:11" s="75" customFormat="1" ht="12.75" customHeight="1">
      <c r="A1146" s="189">
        <f t="shared" si="84"/>
        <v>1046</v>
      </c>
      <c r="B1146" s="90">
        <v>2480</v>
      </c>
      <c r="C1146" s="84" t="s">
        <v>291</v>
      </c>
      <c r="D1146" s="65"/>
      <c r="E1146" s="74"/>
      <c r="F1146" s="174"/>
      <c r="G1146" s="174"/>
      <c r="H1146" s="174"/>
      <c r="I1146" s="174"/>
      <c r="J1146" s="106"/>
      <c r="K1146" s="133"/>
    </row>
    <row r="1147" spans="1:11" s="75" customFormat="1" ht="12.75" customHeight="1">
      <c r="A1147" s="189">
        <f t="shared" si="84"/>
        <v>1047</v>
      </c>
      <c r="B1147" s="90"/>
      <c r="C1147" s="84" t="s">
        <v>292</v>
      </c>
      <c r="D1147" s="65"/>
      <c r="E1147" s="74"/>
      <c r="F1147" s="170">
        <v>230900</v>
      </c>
      <c r="G1147" s="170"/>
      <c r="H1147" s="170">
        <v>230900</v>
      </c>
      <c r="I1147" s="170">
        <f>240000+15000</f>
        <v>255000</v>
      </c>
      <c r="J1147" s="106">
        <f>I1147/H1147</f>
        <v>1.1043741879601559</v>
      </c>
      <c r="K1147" s="133">
        <f>I1147/I$54</f>
        <v>0.007709605502769808</v>
      </c>
    </row>
    <row r="1148" spans="1:11" s="225" customFormat="1" ht="12.75" customHeight="1">
      <c r="A1148" s="189">
        <f t="shared" si="84"/>
        <v>1048</v>
      </c>
      <c r="B1148" s="226">
        <v>92120</v>
      </c>
      <c r="C1148" s="227" t="s">
        <v>551</v>
      </c>
      <c r="D1148" s="186"/>
      <c r="E1148" s="192"/>
      <c r="F1148" s="193">
        <f>F1151+F1156</f>
        <v>0</v>
      </c>
      <c r="G1148" s="193"/>
      <c r="H1148" s="193">
        <f>H1151+H1156</f>
        <v>0</v>
      </c>
      <c r="I1148" s="193">
        <f>I1151+I1156</f>
        <v>302300</v>
      </c>
      <c r="J1148" s="228"/>
      <c r="K1148" s="139">
        <f>I1148/I$54</f>
        <v>0.009139661739165934</v>
      </c>
    </row>
    <row r="1149" spans="1:11" s="225" customFormat="1" ht="12.75" customHeight="1">
      <c r="A1149" s="189">
        <f t="shared" si="84"/>
        <v>1049</v>
      </c>
      <c r="B1149" s="14">
        <v>6050</v>
      </c>
      <c r="C1149" s="84" t="s">
        <v>230</v>
      </c>
      <c r="D1149" s="186"/>
      <c r="E1149" s="192"/>
      <c r="F1149" s="193"/>
      <c r="G1149" s="193"/>
      <c r="H1149" s="193"/>
      <c r="I1149" s="193"/>
      <c r="J1149" s="228"/>
      <c r="K1149" s="228"/>
    </row>
    <row r="1150" spans="1:11" s="225" customFormat="1" ht="12.75" customHeight="1">
      <c r="A1150" s="189">
        <f t="shared" si="84"/>
        <v>1050</v>
      </c>
      <c r="B1150" s="14"/>
      <c r="C1150" s="112" t="s">
        <v>557</v>
      </c>
      <c r="D1150" s="186"/>
      <c r="E1150" s="192"/>
      <c r="F1150" s="193"/>
      <c r="G1150" s="193"/>
      <c r="H1150" s="193"/>
      <c r="I1150" s="193"/>
      <c r="J1150" s="228"/>
      <c r="K1150" s="228"/>
    </row>
    <row r="1151" spans="1:11" s="225" customFormat="1" ht="12.75" customHeight="1">
      <c r="A1151" s="189">
        <f t="shared" si="84"/>
        <v>1051</v>
      </c>
      <c r="B1151" s="226"/>
      <c r="C1151" s="189" t="s">
        <v>558</v>
      </c>
      <c r="D1151" s="186"/>
      <c r="E1151" s="192"/>
      <c r="F1151" s="161">
        <v>0</v>
      </c>
      <c r="G1151" s="161"/>
      <c r="H1151" s="161">
        <v>0</v>
      </c>
      <c r="I1151" s="161">
        <f>320000-220000</f>
        <v>100000</v>
      </c>
      <c r="J1151" s="228"/>
      <c r="K1151" s="133">
        <f>I1151/I$54</f>
        <v>0.0030233747069685524</v>
      </c>
    </row>
    <row r="1152" spans="1:11" s="75" customFormat="1" ht="12.75" customHeight="1">
      <c r="A1152" s="189">
        <f t="shared" si="84"/>
        <v>1052</v>
      </c>
      <c r="B1152" s="90">
        <v>6800</v>
      </c>
      <c r="C1152" s="84" t="s">
        <v>552</v>
      </c>
      <c r="D1152" s="65"/>
      <c r="E1152" s="74"/>
      <c r="F1152" s="170"/>
      <c r="G1152" s="170"/>
      <c r="H1152" s="170"/>
      <c r="I1152" s="170"/>
      <c r="J1152" s="106"/>
      <c r="K1152" s="133"/>
    </row>
    <row r="1153" spans="1:11" s="75" customFormat="1" ht="12.75" customHeight="1">
      <c r="A1153" s="189">
        <f t="shared" si="84"/>
        <v>1053</v>
      </c>
      <c r="B1153" s="90"/>
      <c r="C1153" s="84" t="s">
        <v>553</v>
      </c>
      <c r="D1153" s="65"/>
      <c r="E1153" s="74"/>
      <c r="F1153" s="170"/>
      <c r="G1153" s="170"/>
      <c r="H1153" s="170"/>
      <c r="I1153" s="170"/>
      <c r="J1153" s="106"/>
      <c r="K1153" s="133"/>
    </row>
    <row r="1154" spans="1:11" s="75" customFormat="1" ht="12.75" customHeight="1">
      <c r="A1154" s="189">
        <f t="shared" si="84"/>
        <v>1054</v>
      </c>
      <c r="B1154" s="90"/>
      <c r="C1154" s="84" t="s">
        <v>554</v>
      </c>
      <c r="D1154" s="65"/>
      <c r="E1154" s="74"/>
      <c r="F1154" s="170"/>
      <c r="G1154" s="170"/>
      <c r="H1154" s="170"/>
      <c r="I1154" s="170"/>
      <c r="J1154" s="106"/>
      <c r="K1154" s="133"/>
    </row>
    <row r="1155" spans="1:11" s="75" customFormat="1" ht="12.75" customHeight="1">
      <c r="A1155" s="189">
        <f t="shared" si="84"/>
        <v>1055</v>
      </c>
      <c r="B1155" s="90"/>
      <c r="C1155" s="84" t="s">
        <v>555</v>
      </c>
      <c r="D1155" s="65"/>
      <c r="E1155" s="74"/>
      <c r="F1155" s="170"/>
      <c r="G1155" s="170"/>
      <c r="H1155" s="170"/>
      <c r="I1155" s="170"/>
      <c r="J1155" s="106"/>
      <c r="K1155" s="133"/>
    </row>
    <row r="1156" spans="1:11" s="75" customFormat="1" ht="12.75" customHeight="1">
      <c r="A1156" s="189">
        <f t="shared" si="84"/>
        <v>1056</v>
      </c>
      <c r="B1156" s="90"/>
      <c r="C1156" s="84" t="s">
        <v>556</v>
      </c>
      <c r="D1156" s="65"/>
      <c r="E1156" s="74"/>
      <c r="F1156" s="170">
        <v>0</v>
      </c>
      <c r="G1156" s="170"/>
      <c r="H1156" s="170">
        <v>0</v>
      </c>
      <c r="I1156" s="170">
        <v>202300</v>
      </c>
      <c r="J1156" s="106"/>
      <c r="K1156" s="133">
        <f>I1156/I$54</f>
        <v>0.006116287032197381</v>
      </c>
    </row>
    <row r="1157" spans="1:11" s="75" customFormat="1" ht="12.75">
      <c r="A1157" s="189">
        <f t="shared" si="84"/>
        <v>1057</v>
      </c>
      <c r="B1157" s="64">
        <v>92195</v>
      </c>
      <c r="C1157" s="70" t="s">
        <v>28</v>
      </c>
      <c r="D1157" s="65"/>
      <c r="E1157" s="66" t="e">
        <f>E1159+#REF!+#REF!</f>
        <v>#REF!</v>
      </c>
      <c r="F1157" s="65">
        <f>SUM(F1160:F1170)</f>
        <v>35000</v>
      </c>
      <c r="G1157" s="65">
        <f>SUM(G1160:G1170)</f>
        <v>0</v>
      </c>
      <c r="H1157" s="65">
        <f>SUM(H1160:H1170)</f>
        <v>35000</v>
      </c>
      <c r="I1157" s="65">
        <f>SUM(I1160:I1170)</f>
        <v>875700</v>
      </c>
      <c r="J1157" s="106">
        <f>I1157/H1157</f>
        <v>25.02</v>
      </c>
      <c r="K1157" s="133">
        <f>I1157/I$54</f>
        <v>0.02647569230892361</v>
      </c>
    </row>
    <row r="1158" spans="1:11" ht="12.75">
      <c r="A1158" s="189">
        <f t="shared" si="84"/>
        <v>1058</v>
      </c>
      <c r="B1158" s="4">
        <v>2810</v>
      </c>
      <c r="C1158" s="84" t="s">
        <v>268</v>
      </c>
      <c r="D1158" s="26"/>
      <c r="E1158" s="49"/>
      <c r="F1158" s="176"/>
      <c r="G1158" s="176"/>
      <c r="H1158" s="176"/>
      <c r="I1158" s="176"/>
      <c r="J1158" s="106"/>
      <c r="K1158" s="133"/>
    </row>
    <row r="1159" spans="1:11" ht="12.75">
      <c r="A1159" s="189">
        <f t="shared" si="84"/>
        <v>1059</v>
      </c>
      <c r="B1159" s="4"/>
      <c r="C1159" s="84" t="s">
        <v>269</v>
      </c>
      <c r="D1159" s="26"/>
      <c r="E1159" s="49">
        <f>SUM(E1163:E1163)</f>
        <v>27500</v>
      </c>
      <c r="F1159" s="24"/>
      <c r="G1159" s="24">
        <f>SUM(G1163:G1163)</f>
        <v>0</v>
      </c>
      <c r="H1159" s="24"/>
      <c r="I1159" s="24"/>
      <c r="J1159" s="106"/>
      <c r="K1159" s="133"/>
    </row>
    <row r="1160" spans="1:11" ht="12.75">
      <c r="A1160" s="189">
        <f t="shared" si="84"/>
        <v>1060</v>
      </c>
      <c r="B1160" s="4"/>
      <c r="C1160" s="84" t="s">
        <v>270</v>
      </c>
      <c r="D1160" s="26"/>
      <c r="E1160" s="48"/>
      <c r="F1160" s="161">
        <v>0</v>
      </c>
      <c r="G1160" s="161"/>
      <c r="H1160" s="161">
        <v>0</v>
      </c>
      <c r="I1160" s="161">
        <v>0</v>
      </c>
      <c r="J1160" s="106"/>
      <c r="K1160" s="133">
        <f>I1160/I$54</f>
        <v>0</v>
      </c>
    </row>
    <row r="1161" spans="1:11" ht="12.75">
      <c r="A1161" s="189">
        <f t="shared" si="84"/>
        <v>1061</v>
      </c>
      <c r="B1161" s="4">
        <v>2820</v>
      </c>
      <c r="C1161" s="84" t="s">
        <v>268</v>
      </c>
      <c r="D1161" s="26"/>
      <c r="E1161" s="48"/>
      <c r="F1161" s="161"/>
      <c r="G1161" s="161"/>
      <c r="H1161" s="161"/>
      <c r="I1161" s="161"/>
      <c r="J1161" s="106"/>
      <c r="K1161" s="133"/>
    </row>
    <row r="1162" spans="1:11" ht="12.75">
      <c r="A1162" s="189">
        <f t="shared" si="84"/>
        <v>1062</v>
      </c>
      <c r="B1162" s="4"/>
      <c r="C1162" s="84" t="s">
        <v>272</v>
      </c>
      <c r="D1162" s="26"/>
      <c r="E1162" s="48"/>
      <c r="F1162" s="161"/>
      <c r="G1162" s="161"/>
      <c r="H1162" s="161"/>
      <c r="I1162" s="161"/>
      <c r="J1162" s="106"/>
      <c r="K1162" s="133"/>
    </row>
    <row r="1163" spans="1:11" ht="12.75">
      <c r="A1163" s="189">
        <f t="shared" si="84"/>
        <v>1063</v>
      </c>
      <c r="B1163" s="4"/>
      <c r="C1163" s="84" t="s">
        <v>271</v>
      </c>
      <c r="D1163" s="26"/>
      <c r="E1163" s="48">
        <v>27500</v>
      </c>
      <c r="F1163" s="161">
        <v>35000</v>
      </c>
      <c r="G1163" s="161">
        <v>0</v>
      </c>
      <c r="H1163" s="161">
        <v>35000</v>
      </c>
      <c r="I1163" s="161">
        <v>35700</v>
      </c>
      <c r="J1163" s="106">
        <f>I1163/H1163</f>
        <v>1.02</v>
      </c>
      <c r="K1163" s="133">
        <f>I1163/I$54</f>
        <v>0.0010793447703877732</v>
      </c>
    </row>
    <row r="1164" spans="1:11" ht="12.75">
      <c r="A1164" s="189">
        <f>A1163+1</f>
        <v>1064</v>
      </c>
      <c r="B1164" s="4">
        <v>4810</v>
      </c>
      <c r="C1164" s="84" t="s">
        <v>523</v>
      </c>
      <c r="D1164" s="223"/>
      <c r="E1164" s="48"/>
      <c r="F1164" s="161"/>
      <c r="G1164" s="161"/>
      <c r="H1164" s="161"/>
      <c r="I1164" s="161"/>
      <c r="J1164" s="106"/>
      <c r="K1164" s="133"/>
    </row>
    <row r="1165" spans="1:11" ht="12.75">
      <c r="A1165" s="189">
        <f t="shared" si="84"/>
        <v>1065</v>
      </c>
      <c r="B1165" s="4"/>
      <c r="C1165" s="112" t="s">
        <v>524</v>
      </c>
      <c r="D1165" s="223"/>
      <c r="E1165" s="48"/>
      <c r="F1165" s="161"/>
      <c r="G1165" s="161"/>
      <c r="H1165" s="161"/>
      <c r="I1165" s="161"/>
      <c r="J1165" s="106"/>
      <c r="K1165" s="133"/>
    </row>
    <row r="1166" spans="1:11" ht="12.75">
      <c r="A1166" s="189">
        <f t="shared" si="84"/>
        <v>1066</v>
      </c>
      <c r="B1166" s="4"/>
      <c r="C1166" s="112" t="s">
        <v>606</v>
      </c>
      <c r="D1166" s="223"/>
      <c r="E1166" s="48"/>
      <c r="F1166" s="161"/>
      <c r="G1166" s="161"/>
      <c r="H1166" s="161"/>
      <c r="I1166" s="161"/>
      <c r="J1166" s="106"/>
      <c r="K1166" s="133"/>
    </row>
    <row r="1167" spans="1:11" ht="12.75">
      <c r="A1167" s="189">
        <f t="shared" si="84"/>
        <v>1067</v>
      </c>
      <c r="B1167" s="4"/>
      <c r="C1167" s="112" t="s">
        <v>607</v>
      </c>
      <c r="D1167" s="223"/>
      <c r="E1167" s="48"/>
      <c r="F1167" s="161"/>
      <c r="G1167" s="161"/>
      <c r="H1167" s="161"/>
      <c r="I1167" s="161"/>
      <c r="J1167" s="106"/>
      <c r="K1167" s="133"/>
    </row>
    <row r="1168" spans="1:11" ht="12.75">
      <c r="A1168" s="189">
        <f t="shared" si="84"/>
        <v>1068</v>
      </c>
      <c r="B1168" s="4"/>
      <c r="C1168" s="112" t="s">
        <v>608</v>
      </c>
      <c r="D1168" s="223"/>
      <c r="E1168" s="48"/>
      <c r="F1168" s="161"/>
      <c r="G1168" s="161"/>
      <c r="H1168" s="161"/>
      <c r="I1168" s="161"/>
      <c r="J1168" s="106"/>
      <c r="K1168" s="133"/>
    </row>
    <row r="1169" spans="1:11" ht="12.75">
      <c r="A1169" s="189">
        <f t="shared" si="84"/>
        <v>1069</v>
      </c>
      <c r="B1169" s="4"/>
      <c r="C1169" s="112" t="s">
        <v>609</v>
      </c>
      <c r="D1169" s="223"/>
      <c r="E1169" s="48"/>
      <c r="F1169" s="161"/>
      <c r="G1169" s="161"/>
      <c r="H1169" s="161"/>
      <c r="I1169" s="161"/>
      <c r="J1169" s="106"/>
      <c r="K1169" s="133"/>
    </row>
    <row r="1170" spans="1:11" ht="12.75">
      <c r="A1170" s="189">
        <f t="shared" si="84"/>
        <v>1070</v>
      </c>
      <c r="B1170" s="4"/>
      <c r="C1170" s="112" t="s">
        <v>610</v>
      </c>
      <c r="D1170" s="223"/>
      <c r="E1170" s="48"/>
      <c r="F1170" s="161">
        <v>0</v>
      </c>
      <c r="G1170" s="161"/>
      <c r="H1170" s="161">
        <v>0</v>
      </c>
      <c r="I1170" s="161">
        <f>870000-30000</f>
        <v>840000</v>
      </c>
      <c r="J1170" s="106"/>
      <c r="K1170" s="133">
        <f>I1170/I$54</f>
        <v>0.02539634753853584</v>
      </c>
    </row>
    <row r="1171" spans="1:11" s="72" customFormat="1" ht="12.75">
      <c r="A1171" s="189">
        <f>A1170+1</f>
        <v>1071</v>
      </c>
      <c r="B1171" s="58">
        <v>926</v>
      </c>
      <c r="C1171" s="83" t="s">
        <v>177</v>
      </c>
      <c r="D1171" s="91"/>
      <c r="E1171" s="60" t="e">
        <f>E1172</f>
        <v>#REF!</v>
      </c>
      <c r="F1171" s="60">
        <f>F1172</f>
        <v>102583</v>
      </c>
      <c r="G1171" s="60" t="e">
        <f>G1172</f>
        <v>#REF!</v>
      </c>
      <c r="H1171" s="60">
        <f>H1172</f>
        <v>102527</v>
      </c>
      <c r="I1171" s="60">
        <f>I1172</f>
        <v>193000</v>
      </c>
      <c r="J1171" s="213">
        <f>I1171/H1171</f>
        <v>1.8824309694031816</v>
      </c>
      <c r="K1171" s="136">
        <f>I1171/I$54</f>
        <v>0.005835113184449306</v>
      </c>
    </row>
    <row r="1172" spans="1:11" s="75" customFormat="1" ht="12.75">
      <c r="A1172" s="189">
        <f t="shared" si="84"/>
        <v>1072</v>
      </c>
      <c r="B1172" s="64">
        <v>92695</v>
      </c>
      <c r="C1172" s="70" t="s">
        <v>28</v>
      </c>
      <c r="D1172" s="92"/>
      <c r="E1172" s="65" t="e">
        <f>E1177+#REF!+E1196</f>
        <v>#REF!</v>
      </c>
      <c r="F1172" s="65">
        <f>SUM(F1173:F1197)</f>
        <v>102583</v>
      </c>
      <c r="G1172" s="65" t="e">
        <f>G1177+#REF!+G1196</f>
        <v>#REF!</v>
      </c>
      <c r="H1172" s="65">
        <f>SUM(H1173:H1197)</f>
        <v>102527</v>
      </c>
      <c r="I1172" s="65">
        <f>SUM(I1173:I1197)</f>
        <v>193000</v>
      </c>
      <c r="J1172" s="217">
        <f>I1172/H1172</f>
        <v>1.8824309694031816</v>
      </c>
      <c r="K1172" s="156">
        <f>I1172/I$54</f>
        <v>0.005835113184449306</v>
      </c>
    </row>
    <row r="1173" spans="1:11" s="62" customFormat="1" ht="12.75">
      <c r="A1173" s="189">
        <f t="shared" si="84"/>
        <v>1073</v>
      </c>
      <c r="B1173" s="90">
        <v>2820</v>
      </c>
      <c r="C1173" s="84" t="s">
        <v>268</v>
      </c>
      <c r="D1173" s="154"/>
      <c r="E1173" s="89"/>
      <c r="F1173" s="170"/>
      <c r="G1173" s="170"/>
      <c r="H1173" s="89"/>
      <c r="I1173" s="89"/>
      <c r="J1173" s="106"/>
      <c r="K1173" s="133"/>
    </row>
    <row r="1174" spans="1:11" s="62" customFormat="1" ht="12.75">
      <c r="A1174" s="189">
        <f t="shared" si="84"/>
        <v>1074</v>
      </c>
      <c r="B1174" s="153"/>
      <c r="C1174" s="84" t="s">
        <v>272</v>
      </c>
      <c r="D1174" s="154"/>
      <c r="E1174" s="89"/>
      <c r="F1174" s="170"/>
      <c r="G1174" s="170"/>
      <c r="H1174" s="89"/>
      <c r="I1174" s="89"/>
      <c r="J1174" s="106"/>
      <c r="K1174" s="133"/>
    </row>
    <row r="1175" spans="1:11" s="62" customFormat="1" ht="12.75">
      <c r="A1175" s="189">
        <f t="shared" si="84"/>
        <v>1075</v>
      </c>
      <c r="B1175" s="153"/>
      <c r="C1175" s="84" t="s">
        <v>349</v>
      </c>
      <c r="D1175" s="154"/>
      <c r="E1175" s="89"/>
      <c r="F1175" s="170">
        <v>0</v>
      </c>
      <c r="G1175" s="170"/>
      <c r="H1175" s="89">
        <v>0</v>
      </c>
      <c r="I1175" s="89">
        <v>0</v>
      </c>
      <c r="J1175" s="106"/>
      <c r="K1175" s="133">
        <f>I1175/I$54</f>
        <v>0</v>
      </c>
    </row>
    <row r="1176" spans="1:11" ht="12.75">
      <c r="A1176" s="189">
        <f t="shared" si="84"/>
        <v>1076</v>
      </c>
      <c r="B1176" s="4">
        <v>4110</v>
      </c>
      <c r="C1176" s="84" t="s">
        <v>401</v>
      </c>
      <c r="E1176" s="47"/>
      <c r="F1176" s="161">
        <f>800-800</f>
        <v>0</v>
      </c>
      <c r="G1176" s="161"/>
      <c r="H1176" s="89">
        <v>0</v>
      </c>
      <c r="I1176" s="89">
        <v>0</v>
      </c>
      <c r="J1176" s="106"/>
      <c r="K1176" s="155">
        <f aca="true" t="shared" si="85" ref="K1176:K1197">I1176/I$54</f>
        <v>0</v>
      </c>
    </row>
    <row r="1177" spans="1:11" ht="12.75">
      <c r="A1177" s="189">
        <f t="shared" si="84"/>
        <v>1077</v>
      </c>
      <c r="B1177" s="4">
        <v>4120</v>
      </c>
      <c r="C1177" s="84" t="s">
        <v>402</v>
      </c>
      <c r="E1177" s="47" t="e">
        <f>SUM(#REF!)</f>
        <v>#REF!</v>
      </c>
      <c r="F1177" s="29">
        <v>0</v>
      </c>
      <c r="G1177" s="29" t="e">
        <f>SUM(#REF!)</f>
        <v>#REF!</v>
      </c>
      <c r="H1177" s="89">
        <v>0</v>
      </c>
      <c r="I1177" s="89">
        <v>0</v>
      </c>
      <c r="J1177" s="106"/>
      <c r="K1177" s="155">
        <f t="shared" si="85"/>
        <v>0</v>
      </c>
    </row>
    <row r="1178" spans="1:11" ht="12.75">
      <c r="A1178" s="189">
        <f t="shared" si="84"/>
        <v>1078</v>
      </c>
      <c r="B1178" s="38">
        <v>4170</v>
      </c>
      <c r="C1178" s="112" t="s">
        <v>403</v>
      </c>
      <c r="E1178" s="94"/>
      <c r="F1178" s="161">
        <v>25000</v>
      </c>
      <c r="G1178" s="161"/>
      <c r="H1178" s="170">
        <v>25000</v>
      </c>
      <c r="I1178" s="170">
        <v>48000</v>
      </c>
      <c r="J1178" s="106">
        <f aca="true" t="shared" si="86" ref="J1178:J1183">I1178/H1178</f>
        <v>1.92</v>
      </c>
      <c r="K1178" s="155">
        <f t="shared" si="85"/>
        <v>0.001451219859344905</v>
      </c>
    </row>
    <row r="1179" spans="1:11" ht="12.75">
      <c r="A1179" s="189">
        <f t="shared" si="84"/>
        <v>1079</v>
      </c>
      <c r="B1179" s="38">
        <v>4210</v>
      </c>
      <c r="C1179" s="112" t="s">
        <v>404</v>
      </c>
      <c r="E1179" s="94"/>
      <c r="F1179" s="161">
        <v>18926</v>
      </c>
      <c r="G1179" s="161"/>
      <c r="H1179" s="170">
        <v>18926</v>
      </c>
      <c r="I1179" s="170">
        <v>20000</v>
      </c>
      <c r="J1179" s="106">
        <f t="shared" si="86"/>
        <v>1.0567473317129874</v>
      </c>
      <c r="K1179" s="155">
        <f t="shared" si="85"/>
        <v>0.0006046749413937104</v>
      </c>
    </row>
    <row r="1180" spans="1:11" ht="12.75">
      <c r="A1180" s="189">
        <f t="shared" si="84"/>
        <v>1080</v>
      </c>
      <c r="B1180" s="38">
        <v>4270</v>
      </c>
      <c r="C1180" s="84" t="s">
        <v>273</v>
      </c>
      <c r="E1180" s="94"/>
      <c r="F1180" s="161">
        <v>0</v>
      </c>
      <c r="G1180" s="161"/>
      <c r="H1180" s="170">
        <v>0</v>
      </c>
      <c r="I1180" s="170">
        <v>0</v>
      </c>
      <c r="J1180" s="106"/>
      <c r="K1180" s="155"/>
    </row>
    <row r="1181" spans="1:11" ht="12.75">
      <c r="A1181" s="189">
        <f t="shared" si="84"/>
        <v>1081</v>
      </c>
      <c r="B1181" s="38">
        <v>4300</v>
      </c>
      <c r="C1181" s="84" t="s">
        <v>405</v>
      </c>
      <c r="E1181" s="94"/>
      <c r="F1181" s="161">
        <v>24500</v>
      </c>
      <c r="G1181" s="161"/>
      <c r="H1181" s="170">
        <v>24500</v>
      </c>
      <c r="I1181" s="170">
        <v>25000</v>
      </c>
      <c r="J1181" s="106">
        <f t="shared" si="86"/>
        <v>1.0204081632653061</v>
      </c>
      <c r="K1181" s="155">
        <f t="shared" si="85"/>
        <v>0.0007558436767421381</v>
      </c>
    </row>
    <row r="1182" spans="1:11" ht="12.75">
      <c r="A1182" s="189">
        <f t="shared" si="84"/>
        <v>1082</v>
      </c>
      <c r="B1182" s="38">
        <v>4410</v>
      </c>
      <c r="C1182" s="84" t="s">
        <v>406</v>
      </c>
      <c r="E1182" s="94"/>
      <c r="F1182" s="161">
        <v>3000</v>
      </c>
      <c r="G1182" s="161"/>
      <c r="H1182" s="170">
        <v>3000</v>
      </c>
      <c r="I1182" s="170">
        <v>4000</v>
      </c>
      <c r="J1182" s="106">
        <f t="shared" si="86"/>
        <v>1.3333333333333333</v>
      </c>
      <c r="K1182" s="155">
        <f t="shared" si="85"/>
        <v>0.00012093498827874209</v>
      </c>
    </row>
    <row r="1183" spans="1:11" ht="12.75">
      <c r="A1183" s="189">
        <f t="shared" si="84"/>
        <v>1083</v>
      </c>
      <c r="B1183" s="38">
        <v>4430</v>
      </c>
      <c r="C1183" s="84" t="s">
        <v>407</v>
      </c>
      <c r="E1183" s="94"/>
      <c r="F1183" s="161">
        <v>4074</v>
      </c>
      <c r="G1183" s="161"/>
      <c r="H1183" s="170">
        <v>4074</v>
      </c>
      <c r="I1183" s="170">
        <v>6000</v>
      </c>
      <c r="J1183" s="106">
        <f t="shared" si="86"/>
        <v>1.4727540500736378</v>
      </c>
      <c r="K1183" s="199">
        <f t="shared" si="85"/>
        <v>0.00018140248241811313</v>
      </c>
    </row>
    <row r="1184" spans="1:11" ht="12.75">
      <c r="A1184" s="189">
        <f t="shared" si="84"/>
        <v>1084</v>
      </c>
      <c r="B1184" s="195">
        <v>4480</v>
      </c>
      <c r="C1184" s="84" t="s">
        <v>487</v>
      </c>
      <c r="E1184" s="94"/>
      <c r="F1184" s="161">
        <v>7900</v>
      </c>
      <c r="G1184" s="161"/>
      <c r="H1184" s="170">
        <v>7900</v>
      </c>
      <c r="I1184" s="170">
        <v>0</v>
      </c>
      <c r="J1184" s="219"/>
      <c r="K1184" s="199">
        <f t="shared" si="85"/>
        <v>0</v>
      </c>
    </row>
    <row r="1185" spans="1:11" ht="12.75">
      <c r="A1185" s="189"/>
      <c r="B1185" s="195"/>
      <c r="C1185" s="84"/>
      <c r="E1185" s="94"/>
      <c r="F1185" s="161"/>
      <c r="G1185" s="161"/>
      <c r="H1185" s="170"/>
      <c r="I1185" s="170"/>
      <c r="J1185" s="219"/>
      <c r="K1185" s="199"/>
    </row>
    <row r="1186" spans="1:11" ht="12.75">
      <c r="A1186" s="189">
        <f>A1184+1</f>
        <v>1085</v>
      </c>
      <c r="B1186" s="195">
        <v>4810</v>
      </c>
      <c r="C1186" s="84" t="s">
        <v>523</v>
      </c>
      <c r="E1186" s="94"/>
      <c r="F1186" s="161"/>
      <c r="G1186" s="161"/>
      <c r="H1186" s="170"/>
      <c r="I1186" s="170"/>
      <c r="J1186" s="219"/>
      <c r="K1186" s="199"/>
    </row>
    <row r="1187" spans="1:11" ht="12.75">
      <c r="A1187" s="189">
        <f t="shared" si="84"/>
        <v>1086</v>
      </c>
      <c r="B1187" s="195"/>
      <c r="C1187" s="84" t="s">
        <v>525</v>
      </c>
      <c r="E1187" s="94"/>
      <c r="F1187" s="161"/>
      <c r="G1187" s="161"/>
      <c r="H1187" s="170"/>
      <c r="I1187" s="170"/>
      <c r="J1187" s="219"/>
      <c r="K1187" s="199"/>
    </row>
    <row r="1188" spans="1:11" ht="12.75">
      <c r="A1188" s="189">
        <f t="shared" si="84"/>
        <v>1087</v>
      </c>
      <c r="B1188" s="195"/>
      <c r="C1188" s="112" t="s">
        <v>611</v>
      </c>
      <c r="E1188" s="94"/>
      <c r="F1188" s="161"/>
      <c r="G1188" s="161"/>
      <c r="H1188" s="170"/>
      <c r="I1188" s="170"/>
      <c r="J1188" s="219"/>
      <c r="K1188" s="199"/>
    </row>
    <row r="1189" spans="1:11" ht="12.75">
      <c r="A1189" s="189">
        <f t="shared" si="84"/>
        <v>1088</v>
      </c>
      <c r="B1189" s="195"/>
      <c r="C1189" s="112" t="s">
        <v>612</v>
      </c>
      <c r="E1189" s="94"/>
      <c r="F1189" s="161"/>
      <c r="G1189" s="161"/>
      <c r="H1189" s="170"/>
      <c r="I1189" s="170"/>
      <c r="J1189" s="219"/>
      <c r="K1189" s="199"/>
    </row>
    <row r="1190" spans="1:11" ht="12.75">
      <c r="A1190" s="189">
        <f t="shared" si="84"/>
        <v>1089</v>
      </c>
      <c r="B1190" s="195"/>
      <c r="C1190" s="112" t="s">
        <v>614</v>
      </c>
      <c r="E1190" s="94"/>
      <c r="F1190" s="161"/>
      <c r="G1190" s="161"/>
      <c r="H1190" s="170"/>
      <c r="I1190" s="170"/>
      <c r="J1190" s="219"/>
      <c r="K1190" s="199"/>
    </row>
    <row r="1191" spans="1:11" ht="12.75">
      <c r="A1191" s="189">
        <f t="shared" si="84"/>
        <v>1090</v>
      </c>
      <c r="B1191" s="195"/>
      <c r="C1191" s="112" t="s">
        <v>615</v>
      </c>
      <c r="E1191" s="94"/>
      <c r="F1191" s="161"/>
      <c r="G1191" s="161"/>
      <c r="H1191" s="170"/>
      <c r="I1191" s="170"/>
      <c r="J1191" s="219"/>
      <c r="K1191" s="199"/>
    </row>
    <row r="1192" spans="1:11" ht="12.75">
      <c r="A1192" s="189">
        <f t="shared" si="84"/>
        <v>1091</v>
      </c>
      <c r="B1192" s="195"/>
      <c r="C1192" s="112" t="s">
        <v>616</v>
      </c>
      <c r="E1192" s="94"/>
      <c r="F1192" s="161"/>
      <c r="G1192" s="161"/>
      <c r="H1192" s="170"/>
      <c r="I1192" s="170"/>
      <c r="J1192" s="219"/>
      <c r="K1192" s="199"/>
    </row>
    <row r="1193" spans="1:11" ht="12.75">
      <c r="A1193" s="189">
        <f t="shared" si="84"/>
        <v>1092</v>
      </c>
      <c r="B1193" s="195"/>
      <c r="C1193" s="112" t="s">
        <v>613</v>
      </c>
      <c r="E1193" s="94"/>
      <c r="F1193" s="161"/>
      <c r="G1193" s="161"/>
      <c r="H1193" s="170"/>
      <c r="I1193" s="170"/>
      <c r="J1193" s="219"/>
      <c r="K1193" s="199"/>
    </row>
    <row r="1194" spans="1:11" ht="12.75">
      <c r="A1194" s="189">
        <f t="shared" si="84"/>
        <v>1093</v>
      </c>
      <c r="B1194" s="195"/>
      <c r="C1194" s="112" t="s">
        <v>617</v>
      </c>
      <c r="E1194" s="94"/>
      <c r="F1194" s="161">
        <v>0</v>
      </c>
      <c r="G1194" s="161"/>
      <c r="H1194" s="170">
        <v>0</v>
      </c>
      <c r="I1194" s="170">
        <f>130000-40000</f>
        <v>90000</v>
      </c>
      <c r="J1194" s="219"/>
      <c r="K1194" s="199">
        <f t="shared" si="85"/>
        <v>0.002721037236271697</v>
      </c>
    </row>
    <row r="1195" spans="1:11" ht="12.75">
      <c r="A1195" s="189">
        <f t="shared" si="84"/>
        <v>1094</v>
      </c>
      <c r="B1195" s="38">
        <v>6050</v>
      </c>
      <c r="C1195" s="84" t="s">
        <v>159</v>
      </c>
      <c r="E1195" s="94"/>
      <c r="F1195" s="161">
        <v>6683</v>
      </c>
      <c r="G1195" s="29"/>
      <c r="H1195" s="29">
        <v>6683</v>
      </c>
      <c r="I1195" s="161">
        <v>0</v>
      </c>
      <c r="K1195" s="199">
        <f t="shared" si="85"/>
        <v>0</v>
      </c>
    </row>
    <row r="1196" spans="1:11" ht="12.75">
      <c r="A1196" s="189">
        <f t="shared" si="84"/>
        <v>1095</v>
      </c>
      <c r="B1196" s="195">
        <v>6060</v>
      </c>
      <c r="C1196" s="84" t="s">
        <v>459</v>
      </c>
      <c r="E1196" s="94">
        <v>15000</v>
      </c>
      <c r="F1196" s="161"/>
      <c r="G1196" s="29">
        <v>-5000</v>
      </c>
      <c r="H1196" s="29"/>
      <c r="I1196" s="161"/>
      <c r="K1196" s="199"/>
    </row>
    <row r="1197" spans="1:11" ht="12.75">
      <c r="A1197" s="189">
        <f t="shared" si="84"/>
        <v>1096</v>
      </c>
      <c r="B1197" s="38"/>
      <c r="C1197" s="84" t="s">
        <v>488</v>
      </c>
      <c r="E1197" s="94"/>
      <c r="F1197" s="161">
        <v>12500</v>
      </c>
      <c r="G1197" s="29"/>
      <c r="H1197" s="29">
        <v>12444</v>
      </c>
      <c r="I1197" s="161">
        <v>0</v>
      </c>
      <c r="J1197" s="106"/>
      <c r="K1197" s="199">
        <f t="shared" si="85"/>
        <v>0</v>
      </c>
    </row>
    <row r="1198" spans="1:11" ht="12.75">
      <c r="A1198" s="189">
        <f t="shared" si="84"/>
        <v>1097</v>
      </c>
      <c r="B1198" s="3"/>
      <c r="C1198" s="129"/>
      <c r="D1198" s="23"/>
      <c r="E1198" s="96"/>
      <c r="F1198" s="182"/>
      <c r="G1198" s="183"/>
      <c r="H1198" s="183"/>
      <c r="I1198" s="182"/>
      <c r="J1198" s="113"/>
      <c r="K1198" s="134"/>
    </row>
    <row r="1199" spans="1:11" s="72" customFormat="1" ht="12.75">
      <c r="A1199" s="204">
        <f t="shared" si="84"/>
        <v>1098</v>
      </c>
      <c r="B1199" s="147"/>
      <c r="C1199" s="148" t="s">
        <v>179</v>
      </c>
      <c r="D1199" s="149"/>
      <c r="E1199" s="150" t="e">
        <f>E1171++E1141+E1049+E919+#REF!+E781+E540+E528+E515+E441+E423+E227+E203+E153+E145+E84+E67</f>
        <v>#REF!</v>
      </c>
      <c r="F1199" s="184">
        <f>F1171+F1141+F1049+F919+F818+F781+F540+F528+F515+F441+F437+F423+F227+F203+F153+F145+F84+F67</f>
        <v>29781230</v>
      </c>
      <c r="G1199" s="184" t="e">
        <f>G1171++G1141+G1049+G919+#REF!+G781+G540+G528+G515+G441+G423+G227+G203+G153+G145+G84+G67+G818</f>
        <v>#REF!</v>
      </c>
      <c r="H1199" s="184">
        <f>H1171+H1141+H1049+H919+H818+H781+H540+H528+H515+H441+H437+H423+H227+H203+H153+H145+H84+H67</f>
        <v>27063823.790000003</v>
      </c>
      <c r="I1199" s="184">
        <f>I1171+I1141+I1049+I919+I818+I781+I540+I528+I515+I441+I437+I423+I227+I203+I153+I145+I84+I67</f>
        <v>33075622.34</v>
      </c>
      <c r="J1199" s="220">
        <f>I1199/H1199</f>
        <v>1.222134115143823</v>
      </c>
      <c r="K1199" s="151">
        <f>I1199/I$54</f>
        <v>1</v>
      </c>
    </row>
    <row r="1200" ht="12.75">
      <c r="E1200" s="93"/>
    </row>
  </sheetData>
  <printOptions/>
  <pageMargins left="0.2755905511811024" right="0" top="0.7086614173228347" bottom="0.5118110236220472" header="0.31496062992125984" footer="0.11811023622047245"/>
  <pageSetup horizontalDpi="600" verticalDpi="600" orientation="portrait" paperSize="9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2006-12-22T11:59:55Z</cp:lastPrinted>
  <dcterms:created xsi:type="dcterms:W3CDTF">2000-10-12T12:51:35Z</dcterms:created>
  <dcterms:modified xsi:type="dcterms:W3CDTF">2006-12-22T12:00:29Z</dcterms:modified>
  <cp:category/>
  <cp:version/>
  <cp:contentType/>
  <cp:contentStatus/>
</cp:coreProperties>
</file>