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>
    <definedName name="_xlnm.Print_Area" localSheetId="0">'OPIS97'!$A$1:$I$575</definedName>
  </definedNames>
  <calcPr fullCalcOnLoad="1"/>
</workbook>
</file>

<file path=xl/sharedStrings.xml><?xml version="1.0" encoding="utf-8"?>
<sst xmlns="http://schemas.openxmlformats.org/spreadsheetml/2006/main" count="510" uniqueCount="447">
  <si>
    <t>Opis dochodów   w  zł</t>
  </si>
  <si>
    <t>Struktura</t>
  </si>
  <si>
    <t xml:space="preserve">Dochody ogółem przewiduje się na sumę </t>
  </si>
  <si>
    <t>w tym :</t>
  </si>
  <si>
    <t>OŚWIATA  I  WYCHOWANIE</t>
  </si>
  <si>
    <t>Dochody ogółem przewiduje się na kwotę</t>
  </si>
  <si>
    <t>z tego:</t>
  </si>
  <si>
    <t xml:space="preserve"> 1/ dzierżawy sal lekcyjnych,gimnastycznych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</si>
  <si>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</si>
  <si>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</si>
  <si>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</si>
  <si>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</si>
  <si>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</si>
  <si>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</si>
  <si>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>Dochody ogółem przewiduje się na sumę</t>
  </si>
  <si>
    <t>w tym:</t>
  </si>
  <si>
    <t>DOCHODY  OD  OSÓB  PRAWNYCH, OSÓB FIZYCZNYCH</t>
  </si>
  <si>
    <t>Dochody ogółem wynoszą</t>
  </si>
  <si>
    <t>RÓŻNE  ROZLICZENIA</t>
  </si>
  <si>
    <t xml:space="preserve">   z tego na:</t>
  </si>
  <si>
    <t xml:space="preserve"> D O C H O D Y     O G Ó Ł E M</t>
  </si>
  <si>
    <t>Opis wydatków  w zł</t>
  </si>
  <si>
    <t>struktura</t>
  </si>
  <si>
    <t xml:space="preserve">1.utrzymanie czystości  </t>
  </si>
  <si>
    <t xml:space="preserve">2.utrzymanie zieleni </t>
  </si>
  <si>
    <t>GOSPODARKA  MIESZKANIOWA...</t>
  </si>
  <si>
    <t>OCHRONA  ZDROWIA</t>
  </si>
  <si>
    <t>KULTURA  FIZYCZNA  I  SPORT</t>
  </si>
  <si>
    <t xml:space="preserve">  Związek Miast i Gmin Morskich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</si>
  <si>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</si>
  <si>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</si>
  <si>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</si>
  <si>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</si>
  <si>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</si>
  <si>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</si>
  <si>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</si>
  <si>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</si>
  <si>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nieruchomości</t>
  </si>
  <si>
    <t xml:space="preserve">   Państwa  lub jedn.samorządu teryt.oraz innych</t>
  </si>
  <si>
    <t xml:space="preserve">   umów o podobnym charakterze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</si>
  <si>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</si>
  <si>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</si>
  <si>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</si>
  <si>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</si>
  <si>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</si>
  <si>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</si>
  <si>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</si>
  <si>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1.podatek od działalności gospodarczej osób fizycznych</t>
  </si>
  <si>
    <t xml:space="preserve">   opłacany w formie karty podatkowej</t>
  </si>
  <si>
    <t>Dział 758</t>
  </si>
  <si>
    <t xml:space="preserve">   a/część oświatową</t>
  </si>
  <si>
    <t>Dział 801</t>
  </si>
  <si>
    <t>Dział 854</t>
  </si>
  <si>
    <t>EDUKACYJNA OPIEKA WYCHOWAWCZA</t>
  </si>
  <si>
    <t>Dział 900</t>
  </si>
  <si>
    <t>Dział 600</t>
  </si>
  <si>
    <t>TRANSPORT I ŁĄCZNOŚĆ</t>
  </si>
  <si>
    <t>Wydatki bieżące ogółem</t>
  </si>
  <si>
    <t xml:space="preserve">TURYSTYKA  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</si>
  <si>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</si>
  <si>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</si>
  <si>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</si>
  <si>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</si>
  <si>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</si>
  <si>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</si>
  <si>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</si>
  <si>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</si>
  <si>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</si>
  <si>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</si>
  <si>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</si>
  <si>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</si>
  <si>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</si>
  <si>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</si>
  <si>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</si>
  <si>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</si>
  <si>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 xml:space="preserve">2.dotacja dla  biblioteki </t>
  </si>
  <si>
    <t>Dział 926</t>
  </si>
  <si>
    <t>Dział 921</t>
  </si>
  <si>
    <t xml:space="preserve">P r z y c h o d y   ogółem wynoszą </t>
  </si>
  <si>
    <t>W y d a t k i   ogółem wynoszą</t>
  </si>
  <si>
    <t>w tym m.in.:</t>
  </si>
  <si>
    <t>Zakład Wodociągów i Kanalizacji w Międzyzdrojach</t>
  </si>
  <si>
    <t>1 /wpływy z tyt.dostawy wody pitnej</t>
  </si>
  <si>
    <t>2/ wpływy z tyt.oczyszczania i odprowadzania ścieków</t>
  </si>
  <si>
    <t>2/ wydatki na zakup materiałów, a w szczególności</t>
  </si>
  <si>
    <t xml:space="preserve">   części zamiennych,materiałów konserwacyjnych </t>
  </si>
  <si>
    <t xml:space="preserve">   paliwa do samochodów,odzieży roboczej i ochronnej,</t>
  </si>
  <si>
    <t xml:space="preserve">   środków czystości,materiałów biurowych itp..</t>
  </si>
  <si>
    <t>6/ podatki i opłaty na rzecz budżetu :</t>
  </si>
  <si>
    <t xml:space="preserve">    -podatek od nieruchomości</t>
  </si>
  <si>
    <t xml:space="preserve">    -podatek VAT</t>
  </si>
  <si>
    <t xml:space="preserve">    -opłaty za szczególne korzystanie</t>
  </si>
  <si>
    <t xml:space="preserve">     z wód  i środowiska</t>
  </si>
  <si>
    <t>Nie przewiduje się wpływów do budżetu z tytułu nadwyżki  środków obrotowych.</t>
  </si>
  <si>
    <t>Zakład Ochrony Środowiska w Międzyzdrojach</t>
  </si>
  <si>
    <t>2/ zakup materiałów,paliwa,części zamiennych,</t>
  </si>
  <si>
    <t xml:space="preserve">    pojemników itp..</t>
  </si>
  <si>
    <t>3/ zakup energii</t>
  </si>
  <si>
    <t>4/ zakup usług: dezynsekcja,deratyzacja,rekultywcja</t>
  </si>
  <si>
    <t xml:space="preserve">   wysypiska,ścieki itp..</t>
  </si>
  <si>
    <t>Gminny Fundusz Ochrony Środowiska i Gospodarki Wodnej</t>
  </si>
  <si>
    <t xml:space="preserve">P r z y c h o d y   stanowi ustawowy odpis na rzecz GFOŚ </t>
  </si>
  <si>
    <t>1/ opinie dotyczące drzewostanu</t>
  </si>
  <si>
    <t>Dział O10</t>
  </si>
  <si>
    <t>aktualizacja rejestru wyborców</t>
  </si>
  <si>
    <t>1.opłata miejscowa</t>
  </si>
  <si>
    <t>2.odsetki od nieterminowych wpłat</t>
  </si>
  <si>
    <t xml:space="preserve">   zadań z zakresu spraw obywatelskich/ewid.ludn. i USC/ </t>
  </si>
  <si>
    <t>2.odsetki od nieterminowych wpłat podatku opłacanego</t>
  </si>
  <si>
    <t xml:space="preserve">   w formie karty podatkowej</t>
  </si>
  <si>
    <t xml:space="preserve">     szkoła podstawowa nr 1</t>
  </si>
  <si>
    <t xml:space="preserve">   z pomocy społecznej</t>
  </si>
  <si>
    <t>utrzymanie kąpieliska strzeżonego</t>
  </si>
  <si>
    <t xml:space="preserve">  Stowarzyszenie Gmin Polskich Euroregionu  POMERANIA</t>
  </si>
  <si>
    <t>5.dowożenie uczniów do szkół</t>
  </si>
  <si>
    <t xml:space="preserve">   mianowanego</t>
  </si>
  <si>
    <t xml:space="preserve">   ( wyceny nieruchomości,ogłoszenia o prztargach i inne)</t>
  </si>
  <si>
    <t>4/ zakup usług remontowych (naprawa i konserwacja</t>
  </si>
  <si>
    <t xml:space="preserve">    maszyn,urządzeń,sprzętu,odzieży,wyposażenia,środków</t>
  </si>
  <si>
    <t xml:space="preserve">    transportowych oraz usługi polegające na remoncie</t>
  </si>
  <si>
    <t xml:space="preserve">    i konserwacji pomieszczeń i budynków oraz inne)</t>
  </si>
  <si>
    <t>5/ zakup usług pozostałych ( usługi transportowe,</t>
  </si>
  <si>
    <t xml:space="preserve">    legalizacja butli p-poż, usługi drukarskie,kominiarskie,</t>
  </si>
  <si>
    <t xml:space="preserve">    prawnicze,komputerowe,pocztowe,telefoniczne,badania</t>
  </si>
  <si>
    <t xml:space="preserve">    wody i ścieków , wywóz śmieci i inne)</t>
  </si>
  <si>
    <t xml:space="preserve">1/sprzedaż usług: oczyszczanie miasta, wywóz </t>
  </si>
  <si>
    <t xml:space="preserve">   nieczystości, utrzymanie zieleni miejskiej, cmentarzy,</t>
  </si>
  <si>
    <t xml:space="preserve">   wysypiska , itp..</t>
  </si>
  <si>
    <t>6.dokształcanie i doskonalenie nauczycieli</t>
  </si>
  <si>
    <t xml:space="preserve">7.nagrody dla uczniów </t>
  </si>
  <si>
    <t xml:space="preserve">9.umowy o dzieło-komisja kwalifikacyjna na nauczyciela </t>
  </si>
  <si>
    <t>6. dotacje celowe na realizację zadań z zakresu administracji rządowej zaplanowano  wg pisma Wojewody</t>
  </si>
  <si>
    <t>1.wpływy z rocznej opłaty za  użytkowanie i użytk.wieczyste</t>
  </si>
  <si>
    <t xml:space="preserve">     i różne dochody</t>
  </si>
  <si>
    <t xml:space="preserve">    ubezpieczenia społeczne </t>
  </si>
  <si>
    <t>wpłata na rzecz Izby Rolniczej</t>
  </si>
  <si>
    <t xml:space="preserve">2.opracowania geodezyjne i kartograficzne </t>
  </si>
  <si>
    <t>2.utrzymanie Rady Miejskiej</t>
  </si>
  <si>
    <t xml:space="preserve">3.utrzymanie  Urzędu Miasta </t>
  </si>
  <si>
    <t>4.komisje poborowe</t>
  </si>
  <si>
    <t>3.dotacja na Festiwal Pieśni Chóralnej</t>
  </si>
  <si>
    <t>GOSPODARKA KOMUNALNA I OCHRONA ŚRODOWISKA</t>
  </si>
  <si>
    <t>3/ zakup energii elektrycznej i gazu</t>
  </si>
  <si>
    <t>6/ podatek od nieruchomości</t>
  </si>
  <si>
    <t>7/ podatek VAT</t>
  </si>
  <si>
    <t>wraz z odsetkami</t>
  </si>
  <si>
    <t xml:space="preserve">A. Budżet po stronie dochodów  wynosi  </t>
  </si>
  <si>
    <t xml:space="preserve">B. Budżet po stronie  wydatków  wynosi </t>
  </si>
  <si>
    <t>C. Wynik (A-B)  deficyt wynosi</t>
  </si>
  <si>
    <t xml:space="preserve">    z tego:</t>
  </si>
  <si>
    <t xml:space="preserve">    D1.1. Kredyty bankowe</t>
  </si>
  <si>
    <t xml:space="preserve">    D2.1. Spłaty kredytów</t>
  </si>
  <si>
    <t xml:space="preserve">    D2.2. Spłaty pożyczek</t>
  </si>
  <si>
    <t>D. Finansowanie  (D1-D2)</t>
  </si>
  <si>
    <t>D1. Przychody ogółem wynoszą:</t>
  </si>
  <si>
    <t>D2. Rozchody ogółem wynoszą:</t>
  </si>
  <si>
    <t>2.dochody z najmu i dzierżawy skł.majątkowych Skarbu</t>
  </si>
  <si>
    <t>3.wpływy z tyt.przekształcenia prawa użytk. wieczyst.</t>
  </si>
  <si>
    <t>I  OD INNYCH JEDNOSTEK NIEPOSIADAJĄCYCH OSOBOWOŚCI</t>
  </si>
  <si>
    <t>3.podatek od nieruchomości</t>
  </si>
  <si>
    <t xml:space="preserve">4.podatek rolny </t>
  </si>
  <si>
    <t>5. podatek leśny</t>
  </si>
  <si>
    <t xml:space="preserve">6. podatek od środków transportowych </t>
  </si>
  <si>
    <t xml:space="preserve">    b/część wyrównawcza-kwota uzupełniająca</t>
  </si>
  <si>
    <t>Dział 852</t>
  </si>
  <si>
    <t>POMOC  SPOŁECZNA</t>
  </si>
  <si>
    <t>7.wydatki związane z  eksploatacją kotłowni urzędu</t>
  </si>
  <si>
    <t xml:space="preserve">2.odsetki od pożyczek </t>
  </si>
  <si>
    <t>3.odsetki od kredytów</t>
  </si>
  <si>
    <t>4.odsetki od kredytu w rachunku bieżącym</t>
  </si>
  <si>
    <t xml:space="preserve">4.utrzymanie gimnazjum </t>
  </si>
  <si>
    <t>POMOC SPOŁECZNA</t>
  </si>
  <si>
    <t>K o s z t y   ogółem wynoszą</t>
  </si>
  <si>
    <t>K o s z t y    ogółem wynoszą</t>
  </si>
  <si>
    <t>PRAWNEJ ORAZ WYDATKI ZWIĄZANE Z ICH POBOREM</t>
  </si>
  <si>
    <t xml:space="preserve">   z tytułu:</t>
  </si>
  <si>
    <t xml:space="preserve">     1.opłaty za przedszkole </t>
  </si>
  <si>
    <t xml:space="preserve">     2.odpłatności za posiłki w przedszkolu</t>
  </si>
  <si>
    <t xml:space="preserve">     3.różnych dochodów</t>
  </si>
  <si>
    <t>3.utrzymanie przedszkola</t>
  </si>
  <si>
    <t>3. wpływy z dzierżaw  - stawki pozostawiono bez zmian,</t>
  </si>
  <si>
    <t>4.wpłaty z tyt.odpłatnego nabycia prawa własności</t>
  </si>
  <si>
    <t xml:space="preserve">   oraz prawa użytkowania wieczystego nieruchomości</t>
  </si>
  <si>
    <t>6.wpływy ze sprzedaży mienia komunalnego:</t>
  </si>
  <si>
    <t>dotacja na prowadzenie i aktualizację rejestu wyborców</t>
  </si>
  <si>
    <t>wpływy z tytułu mandatów od ludności</t>
  </si>
  <si>
    <t>(osoby prawne)</t>
  </si>
  <si>
    <t>( osoby fizyczne)</t>
  </si>
  <si>
    <t xml:space="preserve">7. podatek od czynności cywilnoprawnych </t>
  </si>
  <si>
    <t>9. odsetki od nieterminowych wpłat z tyt.podat. i opłat</t>
  </si>
  <si>
    <t>10.podatek od nieruchomości</t>
  </si>
  <si>
    <t xml:space="preserve">11.podatek rolny </t>
  </si>
  <si>
    <t>poinformował o planowanej subwencji ogólnej na rok 2005</t>
  </si>
  <si>
    <t xml:space="preserve">w wysokości </t>
  </si>
  <si>
    <t>1.dotacja z przeznaczeniem na świadczenia rodzinne oraz</t>
  </si>
  <si>
    <t xml:space="preserve">   społecznego</t>
  </si>
  <si>
    <t xml:space="preserve">   składki na ubezpieczenia emerytalne i rentowe z ubezpieczenia</t>
  </si>
  <si>
    <t>2.dotacja z przeznaczeniem na składki na ubezpieczenie</t>
  </si>
  <si>
    <t xml:space="preserve">   zdrowotne opłacane za osoby pobierające niektóre  świadczenia</t>
  </si>
  <si>
    <t xml:space="preserve">3. dotacja na zasiłki i pomoc w naturze oraz składki na </t>
  </si>
  <si>
    <t>4.dotacja z przeznaczeniem na zasiłki okresowe</t>
  </si>
  <si>
    <t>5.dotacja na utrzymanie  Ośrodka Pomocy Społecznej</t>
  </si>
  <si>
    <t>6.wpływy z usług opiekuńczych</t>
  </si>
  <si>
    <t>9.wynajem biura-Powiatowy Urząd Pracy</t>
  </si>
  <si>
    <t xml:space="preserve">1.utrzymanie szkoły podstawowej nr 1 </t>
  </si>
  <si>
    <t xml:space="preserve">    nauczycieli rencistów i emerytów</t>
  </si>
  <si>
    <t>2.składki na ubezpieczenia zdrowotne</t>
  </si>
  <si>
    <t>3.świadczenia społeczne i składki na ubezp.społ.-zadania zlecone</t>
  </si>
  <si>
    <t xml:space="preserve">4.świadczenia społeczne- zadania  własne </t>
  </si>
  <si>
    <t>6.dodatki mieszkaniowe</t>
  </si>
  <si>
    <t>7.utrzymanie Ośrodka Pomocy Społecznej</t>
  </si>
  <si>
    <t xml:space="preserve">8.utrzymanie opiekunek </t>
  </si>
  <si>
    <t>2/ zakup pomocy naukowych i dydaktycznych</t>
  </si>
  <si>
    <t xml:space="preserve">    na nagrody z tyt.udziału w konkursach związanych</t>
  </si>
  <si>
    <t xml:space="preserve">    z edukacją ekologiczną</t>
  </si>
  <si>
    <t>Stan funduszu na początek roku</t>
  </si>
  <si>
    <t>Stan funduszu na koniec roku</t>
  </si>
  <si>
    <t>Stan środków obrotowych na początek roku</t>
  </si>
  <si>
    <t>Stan środków obrotowych na koniec roku</t>
  </si>
  <si>
    <t>Stan środków obrotowych na początek  roku</t>
  </si>
  <si>
    <t>Stan środków obrotowych na koniec  roku</t>
  </si>
  <si>
    <t>1. utrzymanie dróg publicznych gminnych</t>
  </si>
  <si>
    <t>2. dopłaty do biletów z tytułu kosztów stosowania ulg</t>
  </si>
  <si>
    <t xml:space="preserve">    Problemów Alkoholowych</t>
  </si>
  <si>
    <t>TRANSPORT  I ŁĄCZNOŚĆ</t>
  </si>
  <si>
    <t xml:space="preserve">    D1.3. Wolne środki </t>
  </si>
  <si>
    <t xml:space="preserve">   przysług.osobom fizycznym w prawo własności</t>
  </si>
  <si>
    <t>8.zwrot nakładów i odsetek na przedsięwzięcie termomodernizacyjne</t>
  </si>
  <si>
    <t>2. 5% udział gminy z tyt.poboru opłat za wydanie dowodu osobistego</t>
  </si>
  <si>
    <t>8.wpływy z różnych opłat (prolongacyjna i upomninia - osoby prawne)</t>
  </si>
  <si>
    <t xml:space="preserve">12. podatek od środków transportowych </t>
  </si>
  <si>
    <t>13. podatek od spadków i darowizn</t>
  </si>
  <si>
    <t>14. podatek od posiadania psów</t>
  </si>
  <si>
    <t>15. wpływy z opłaty targowej</t>
  </si>
  <si>
    <t xml:space="preserve">16. podatek od czynności cywilnoprawnych </t>
  </si>
  <si>
    <t>17.wpływy z różnych opłat (prolongacyjna,zwrot za upomnienia-os.fizyczne)</t>
  </si>
  <si>
    <t>18. odsetki od nieterminowych wpłat z tyt.podat. i opłat</t>
  </si>
  <si>
    <t>19.wpływy z opłaty skarbowej</t>
  </si>
  <si>
    <t>20.wpływy z opłat za zezwolenia na sprzedaż alkoholu</t>
  </si>
  <si>
    <t xml:space="preserve">    c/część równoważąca dodatki mieszkaniowe</t>
  </si>
  <si>
    <t xml:space="preserve">     4.dzierżawy</t>
  </si>
  <si>
    <t>7.dotacja z przeznaczeniem na posiłek dla potrzebujących</t>
  </si>
  <si>
    <t>Dochody stanowią wpływy z  najmu budynku gimnazjum</t>
  </si>
  <si>
    <t>w okresie wakacji</t>
  </si>
  <si>
    <t xml:space="preserve">  Związek Miast Polskich</t>
  </si>
  <si>
    <t>1.utrzymanie Ochotniczej Straży Pożarnej</t>
  </si>
  <si>
    <t>2.obrona cywilna</t>
  </si>
  <si>
    <t>3.utrzymanie Straży Miejskiej</t>
  </si>
  <si>
    <t>3.utrzymanie oddziału przedszkolnego w szkole nr 2</t>
  </si>
  <si>
    <t>5.świadczenia społeczne-zadania własne (zasiłki okresowe)</t>
  </si>
  <si>
    <t>9.świadczenia społeczne-posiłek dla potrzebujących</t>
  </si>
  <si>
    <t>2.koszty związane z wynajmem gimnazjum w okresie wakacji</t>
  </si>
  <si>
    <t>3.pomoc materialna dla uczniów (stypendia socjalne)</t>
  </si>
  <si>
    <t>4.dofinansowanie kosztów kształcenia młodocianych</t>
  </si>
  <si>
    <t>5.dokształcanie i doskonalenie nauczycieli</t>
  </si>
  <si>
    <t>6.odpisy na zakładowy fundusz świadczeń socjalnych dla</t>
  </si>
  <si>
    <t>3.oświetlenie ulic (energia)</t>
  </si>
  <si>
    <t xml:space="preserve">4.konserwacja oświetlenia </t>
  </si>
  <si>
    <t>6.iluminacja świąteczna i inne</t>
  </si>
  <si>
    <t>7.opieka nad bezdomnymi psami</t>
  </si>
  <si>
    <t>GOSPODARKA MIESZKANIOWA</t>
  </si>
  <si>
    <t>Opis  planów finansowych zakładów budżetowych i funduszu celowego.</t>
  </si>
  <si>
    <t>1/ wynagrodzenia i składki ZUS  32 pracowników</t>
  </si>
  <si>
    <t>1/ wynagrodzenia i składki ZUS pracowników</t>
  </si>
  <si>
    <t xml:space="preserve">    D1.2. Spłaty pożyczek udzielonych</t>
  </si>
  <si>
    <t xml:space="preserve">    D2.3. Udzielenie pożyczki (ZOŚ)</t>
  </si>
  <si>
    <t>5.wynajem lokali mieszkalnych i użytkowych</t>
  </si>
  <si>
    <t>3. wpływy z różnych dochodów</t>
  </si>
  <si>
    <t>4. wpływy ze sprzedaży ciepła dla BGŻ</t>
  </si>
  <si>
    <t>5. odsetki od środków na rachunkach bankowych</t>
  </si>
  <si>
    <t>21.wpływy z innych lokalnych opłat (wydanie wypisu i wyrysu</t>
  </si>
  <si>
    <t xml:space="preserve">    z części graficznej miejscowego palnu zagospodarowania</t>
  </si>
  <si>
    <t xml:space="preserve">    przestrzennego, opłata za wpis oraz zmianę wpisu do ewidencji</t>
  </si>
  <si>
    <t xml:space="preserve">    działalności gospodarczej)</t>
  </si>
  <si>
    <t>22.udziały gminy w podatku dochodowym od osób fizycznych</t>
  </si>
  <si>
    <t>23.udziały gminy w podatku dochodowym od osób prawnych</t>
  </si>
  <si>
    <t>5.wynagrodzenia z tyt.inkasa podatków i opłat lokalnych</t>
  </si>
  <si>
    <t>8.wpłaty gmin na rzecz związków celowych, w tym:</t>
  </si>
  <si>
    <t xml:space="preserve">  Związek Gmin Wyspy Wolin</t>
  </si>
  <si>
    <t>1.wpłata na rzecz funuszu celowego Policji z przeznaczeniem na</t>
  </si>
  <si>
    <t>1. zwalczanie narkomanii</t>
  </si>
  <si>
    <t>2. realizacja programu Gminnej Komisji Rozwiązywania</t>
  </si>
  <si>
    <t xml:space="preserve">   na ubezpieczenia emeryt.i rent.z ubezp.społecznego</t>
  </si>
  <si>
    <t xml:space="preserve">1.świadczenia rodzinne, zaliczka alimentacyjna oraz składki </t>
  </si>
  <si>
    <t xml:space="preserve">  a także koszty obsługi świadczeń rodzinnych</t>
  </si>
  <si>
    <t>1.koszty utrzymania sekcji  sportowych</t>
  </si>
  <si>
    <t>2/wpływy z tyt.usług-stadion</t>
  </si>
  <si>
    <t>OBJAŚNIENIA DO  BUDŻETU  GMINY   NA   ROK   2007</t>
  </si>
  <si>
    <t>Do opracowania  budżetu na rok 2007  przyjęto następujące dane i założenia:</t>
  </si>
  <si>
    <t>1. przewidywane wykonanie budżetu za 2006 r.,</t>
  </si>
  <si>
    <t>2. wpływy z tytułu podatku od nieruchomości- stawki pozostawiono bez zmian</t>
  </si>
  <si>
    <t>4. wskaźnik inflacji  założono w wysokości 1,9% ,</t>
  </si>
  <si>
    <t>5. nie przewiduje się wzrostu wynagrodzeń osobowych  pracowników  w 2007 roku,</t>
  </si>
  <si>
    <t xml:space="preserve">   Zachodniopomorskiego  Nr FB.1-LM-3010/20/2006 z dnia 23.10.2006r. , pisma Krajowego Biura Wyborczego</t>
  </si>
  <si>
    <t xml:space="preserve">   Nr DSZ-3101-40/06 z dnia 19 października 2006r.</t>
  </si>
  <si>
    <t>7. na podstawie pisma Ministra Finansów Nr ST3-4820-25/2006/1892  z dnia 11.10.2006r. zaplanowano</t>
  </si>
  <si>
    <t xml:space="preserve">    subwencję ogólną (w tym: część oświatowa i część równoważąca), udziały w podatku</t>
  </si>
  <si>
    <t xml:space="preserve">    dochodowym od osób fizycznych oraz wpłatę na rzecz budżetu państawa.</t>
  </si>
  <si>
    <t>8. ustala się spłatę rat kredytów w wysokości 927 029 zł  i pożyczek w wysokości 14 443 zł,  łącznie</t>
  </si>
  <si>
    <t xml:space="preserve">     b/ wydatki inwestycyjne</t>
  </si>
  <si>
    <t xml:space="preserve">    na kwotę  941 472 zł , z wolnych środków na rachunku Gminy w kwocie 941 472 zł </t>
  </si>
  <si>
    <t xml:space="preserve">    z wolnych środków na rachunku Gminy w wysokości  802 628,34  zł oraz z wpływów ze sprzedaży</t>
  </si>
  <si>
    <t xml:space="preserve">    b/ z kredytu</t>
  </si>
  <si>
    <t xml:space="preserve">    a/ ze sprzedaży mienia  na kwotę </t>
  </si>
  <si>
    <t>11. wpływy ze sprzedaży mienia komunalnego na kwotę 9 674 300 zł  przeznacza się  na :</t>
  </si>
  <si>
    <t xml:space="preserve">     a/ wydatki bieżące </t>
  </si>
  <si>
    <t xml:space="preserve"> a/ sprzedaży nieruchomości</t>
  </si>
  <si>
    <t xml:space="preserve"> b/ lokali mieszkalnych </t>
  </si>
  <si>
    <t xml:space="preserve"> c/ zwrot bonifikaty</t>
  </si>
  <si>
    <t>7.odsetki od nieterminowej płatności zobowiązań i inne dochody</t>
  </si>
  <si>
    <t xml:space="preserve">Dochody stanowią:wpływy z tytułu rezerwacji miejsc </t>
  </si>
  <si>
    <t>(cmentarz)</t>
  </si>
  <si>
    <t>3/wpływy z usług(odpłatność za obiady)</t>
  </si>
  <si>
    <t>4/ odsetki od środków na rachunkach bankowych</t>
  </si>
  <si>
    <t>5/ wpływy - przedszkole</t>
  </si>
  <si>
    <t xml:space="preserve">   z przeznaczeniem na sfinansowanie kosztów związanych</t>
  </si>
  <si>
    <t>1.dotacja przedmiotowa dla Zakładu Ochrony Środowiska</t>
  </si>
  <si>
    <t>2.gospodatka gruntami i nieruchomościami</t>
  </si>
  <si>
    <t xml:space="preserve">   a/zwrotu nakładów poczynionych na nieruchomości</t>
  </si>
  <si>
    <t xml:space="preserve">     położonej przy ul.Dąbrówki 13</t>
  </si>
  <si>
    <t xml:space="preserve">     w Wicku o pow.1414m2 pod drogę </t>
  </si>
  <si>
    <t xml:space="preserve">   b/przejętej pod drogę działki Nr 139/6 </t>
  </si>
  <si>
    <t xml:space="preserve">   c/ innych ewentualnych kar i odszkodowań </t>
  </si>
  <si>
    <t>4.wydatki związane z utrzymaniem nieruchomości:</t>
  </si>
  <si>
    <t xml:space="preserve">   a/opłata za użytkowanie dna morskiego</t>
  </si>
  <si>
    <t xml:space="preserve">    będących w zarządzie MTBS</t>
  </si>
  <si>
    <t xml:space="preserve">    b/utrzymanie budynków i lokali ( mieszkalnych i użytkowych)</t>
  </si>
  <si>
    <t xml:space="preserve">   c/remonty mieszkan komunalnych</t>
  </si>
  <si>
    <t xml:space="preserve">   z zarządzaniem składnikami majątkowymi będącymi</t>
  </si>
  <si>
    <t xml:space="preserve">   własnością Gminy</t>
  </si>
  <si>
    <t xml:space="preserve">    pokrycie kosztów zarządzania cmentarzem</t>
  </si>
  <si>
    <t xml:space="preserve">   komunalnym w Międzyzdrojach i Lubinie</t>
  </si>
  <si>
    <t>10.zakup energi-skrzynka energetyczna -promocja</t>
  </si>
  <si>
    <t xml:space="preserve">   dofinansowanie remontu budynku komisariatu </t>
  </si>
  <si>
    <t>4.zakup wody na cele przeciwpożarowe</t>
  </si>
  <si>
    <t>1.prowizja bankowa - kredyt w rachunku bieżącym</t>
  </si>
  <si>
    <t>2.realizacja Projektu Programu Socrates-Cumenius (szkoła nr 1)</t>
  </si>
  <si>
    <t xml:space="preserve">3.utrzymanie szkoły podstawowej nr 2 </t>
  </si>
  <si>
    <t xml:space="preserve">    </t>
  </si>
  <si>
    <t>2/ środki na realizację Projetu Programu Socrates…..(szkoła nr 1)</t>
  </si>
  <si>
    <t>4.rezerwa celowa z przeznaczeniem na organizację imprez</t>
  </si>
  <si>
    <t xml:space="preserve">  kulturalno-artystycznych, m.in.na:</t>
  </si>
  <si>
    <t xml:space="preserve">  a/ I Międzyznarodowy Festiwal Chopinowski</t>
  </si>
  <si>
    <t xml:space="preserve">  b/ Święto Polskiego Kabaretu</t>
  </si>
  <si>
    <t xml:space="preserve">  c/ Lato z Gwiazdami/ Festiwal Gwiazd</t>
  </si>
  <si>
    <t xml:space="preserve">  d/ Międzyzdrojski Muzyczny Non Stop</t>
  </si>
  <si>
    <t xml:space="preserve"> </t>
  </si>
  <si>
    <t xml:space="preserve">  e/ Pożgnanie Lata-Przegląd Piosenki Studen.</t>
  </si>
  <si>
    <t>1.budowa zjazdu na plażę -ul.Cicha</t>
  </si>
  <si>
    <t>1.urządzenie cmentarza w Międzyzdrojach</t>
  </si>
  <si>
    <t>2.modernizacja sieci komputerowej</t>
  </si>
  <si>
    <t>3.remont dachu budynku urzędu</t>
  </si>
  <si>
    <t>4.zakup szafy metalowej</t>
  </si>
  <si>
    <t>1.wykonanie podjazdu i bramy garażowej w OSP</t>
  </si>
  <si>
    <t>2.zakup radiostacji dla Straży Miejskiej</t>
  </si>
  <si>
    <t>1.zakup kserokopiarki dla szkoły nr 1</t>
  </si>
  <si>
    <t>2.zakup pralnicy z suszarką oraz patelni gastronomicznej dla przedszkola</t>
  </si>
  <si>
    <t>3.zakup patelni,rzutnika i pracowni językowej dla gimnazjum</t>
  </si>
  <si>
    <t>4.remont podłączenia energetycznego w szkole nr 1</t>
  </si>
  <si>
    <t>5.remont stołówki w szkole nr 1</t>
  </si>
  <si>
    <t>7.urządzenie palcu zabaw w przedszkolu</t>
  </si>
  <si>
    <t>8.elewacja i docieplenie budynku gimnazjum oraz inne roboty</t>
  </si>
  <si>
    <t>9.przebudowa klatki schodowej w budynku gimnazjum</t>
  </si>
  <si>
    <t>1.rozbudowa istniejącego placu zabaw w parku</t>
  </si>
  <si>
    <t>3.rekultywacja składowiska odpadów komunalnych</t>
  </si>
  <si>
    <t>4.rozbudowa sieci wodno-kanalizacyjnej w ul.Mierniczej</t>
  </si>
  <si>
    <t>5.dotacja dla Gminy Golczewo na budowę schroniska dla</t>
  </si>
  <si>
    <t xml:space="preserve">   zwierząt w Sosnowicach</t>
  </si>
  <si>
    <t xml:space="preserve">   przy ul.Bohaterów Warszawy</t>
  </si>
  <si>
    <t>1.budowa budynku wielorodzinnego w Międzyzdrojach</t>
  </si>
  <si>
    <t>2.rozbudowa oświetlenia w ul.Turkusowej w Wapnicy</t>
  </si>
  <si>
    <t xml:space="preserve">   i sieci kanalizacyjnej w  ul.Polnej</t>
  </si>
  <si>
    <t>6.dotacja dla miasta Świnoujście na budowę stacji segregacji odpadów</t>
  </si>
  <si>
    <t>7.zakup pompy typu Flugt 3171 180 LT 611</t>
  </si>
  <si>
    <t xml:space="preserve">   "BALBINKA"</t>
  </si>
  <si>
    <t xml:space="preserve">   przy zabytkach wpisanych do rejestru zabytków-remont dachu kościoła</t>
  </si>
  <si>
    <t xml:space="preserve">   w Międzyzdrojach i Lubinie</t>
  </si>
  <si>
    <t xml:space="preserve">Dział 921 </t>
  </si>
  <si>
    <t>KULTURA I OCHRONA DZIEDZICTWA NARODOWEGO</t>
  </si>
  <si>
    <t>1.przebudowa budynku położonego przy ul.Promenada Gwiazd</t>
  </si>
  <si>
    <t>2.dotacja z przeznaczeniem na 15% dofinansowanie robót budowlanych</t>
  </si>
  <si>
    <t>1.roczna kwota wpłaty Gminy do budżetu państwa</t>
  </si>
  <si>
    <t>2.rezerwa ogólna</t>
  </si>
  <si>
    <t>3/ zakup zamrażarki do przechowywania padłych zwierząt</t>
  </si>
  <si>
    <t>5/ utrzymanie terenów zielonych</t>
  </si>
  <si>
    <t>6/ konserwacja rowów melioracyjnych</t>
  </si>
  <si>
    <t>4/ nieprzewidziane zdarzenia losowe i ogłoszenia</t>
  </si>
  <si>
    <t>7/ likwidacja dzikich wysypisk</t>
  </si>
  <si>
    <t>8/ realizacja gminnego planu gospodarki odpadami-</t>
  </si>
  <si>
    <t xml:space="preserve">    budowa i eksploatacja GPZON</t>
  </si>
  <si>
    <t>9/ dotacje</t>
  </si>
  <si>
    <t>10/ obsługa rachunku bankowego</t>
  </si>
  <si>
    <t>3/ wpływy z tyt.pozostałej sprzedaży (wykonanie przyłączy</t>
  </si>
  <si>
    <t xml:space="preserve">    sieci wod.-kan.,konserwowanie pomp,remont studzienek</t>
  </si>
  <si>
    <t xml:space="preserve">    wodomierzowych,sprzedaż wodomierzy i ich wymiana,</t>
  </si>
  <si>
    <t xml:space="preserve">    czyszczenie sieci kanalizacyjnej i sanitarnej WUK-iem, </t>
  </si>
  <si>
    <t xml:space="preserve">   sprzedaż materiałów i inne)</t>
  </si>
  <si>
    <t>2 załączniki</t>
  </si>
  <si>
    <t xml:space="preserve">3/dotacja przedmiotowa z budżetu z przeznaczeniem na </t>
  </si>
  <si>
    <t xml:space="preserve">   sfinansowanie kosztów związanych z:</t>
  </si>
  <si>
    <t xml:space="preserve">    a/ zarządzaniem składnikami majątkowymi będącymi</t>
  </si>
  <si>
    <t xml:space="preserve">       własnością Gminy (najem i dzierżawa)</t>
  </si>
  <si>
    <t xml:space="preserve">   b/ utrzymaniem stadionu miejskiego</t>
  </si>
  <si>
    <t>1. dotacja na zad.zlecone z przeznaczeniem na finansowanie</t>
  </si>
  <si>
    <t>Minister Finansów pismem nr ST3-4820-25/2006 z dnia 11.10.2006r.</t>
  </si>
  <si>
    <t>3.odszkodowania z tytułu:</t>
  </si>
  <si>
    <t>8.nagrody dla dyrektorów szkół oraz nagroda Burmistrza dla nauczycieli</t>
  </si>
  <si>
    <t>10.odpisy na zakładowy fundusz świadczeń socjalnych dla</t>
  </si>
  <si>
    <t>1.rozbudowa centrali telefonicznej urzędu</t>
  </si>
  <si>
    <t>9. wydatki bieżące w wysokości  21 295 882,34 zł planuje  się sfinansować z wpływów z podatków i opłat,</t>
  </si>
  <si>
    <t>10.wydatki inwestycyjne planuje się na kwotę 11 779 740 zł i zamierza się sfinansować :</t>
  </si>
  <si>
    <t xml:space="preserve">    subwencji,dotacji,dzierżawy gruntu,najmu i innych dochodów na kwotę 18 098 694 zł, z wpływów</t>
  </si>
  <si>
    <t xml:space="preserve">    mienia na kwotę 2 394 560 zł.</t>
  </si>
  <si>
    <t>1.wpływy z opłat za zajęcie pasa drogowego i odsetek</t>
  </si>
  <si>
    <t>2.wpływy z tytułu opłat pobieranych w strefie płatnego postoju</t>
  </si>
  <si>
    <t xml:space="preserve">   w przewozie pasażerów zgodnie z art..18a</t>
  </si>
  <si>
    <t xml:space="preserve">   ustawy o transporcie drogowym</t>
  </si>
  <si>
    <t>3.wynagrodzenie dla firmy prowadzącej strefy płatnego postoju</t>
  </si>
  <si>
    <t>3.remont przyziemia kaplicy na Cmentarzu Komunalnym</t>
  </si>
  <si>
    <t xml:space="preserve">   w Międzyzdrojach</t>
  </si>
  <si>
    <t>4. dotacja przedmiotowa dla ZOŚ z przenaczeniem na</t>
  </si>
  <si>
    <t>10.świadczenia za prace społecznie-użyteczne</t>
  </si>
  <si>
    <t>8.dotacja celowa dla Gminy Golczewo na utrzymanie 15 stanowisk</t>
  </si>
  <si>
    <t xml:space="preserve">   dla bezdomnych psów w schronisku</t>
  </si>
  <si>
    <t>9.monitoring składowiska odpadów</t>
  </si>
  <si>
    <t>10.utrzymanie przepompowni melioracyjnej(energia i konserwacja)</t>
  </si>
  <si>
    <t>11.dotacja przedmiotowa dla ZOŚ -dofinansowanie utrzymania stadionu</t>
  </si>
  <si>
    <t>2.rezerwa celowa z przeznaczeniem na imprezy rekreacyjno-sportowe:</t>
  </si>
  <si>
    <t xml:space="preserve">   Bieg Śniadaniowy, Mityng Lekkoatletyczny,</t>
  </si>
  <si>
    <t xml:space="preserve">    Międzynarodowy Turniej Tańca Towarzyskiego oraz inne wynikające </t>
  </si>
  <si>
    <t xml:space="preserve">   Majowy Turniej Piłki Nożnej, Turniej Koszykówki, Turniej Siatkówki,</t>
  </si>
  <si>
    <t xml:space="preserve">     z kalendarza imprez</t>
  </si>
  <si>
    <t>2.przebudowa ul.Mickiewicza i Rybackiej</t>
  </si>
  <si>
    <t>5.remont ul.Dobrej i parkingu przy Wzgórzu Zielonka oraz budowa</t>
  </si>
  <si>
    <t xml:space="preserve">   zaplecza sanitarnego</t>
  </si>
  <si>
    <t xml:space="preserve">3.opracowanie dokumentacji i przebudowa ul.Promenada Gwiazd </t>
  </si>
  <si>
    <t xml:space="preserve">   i Bohaterów Warszawy</t>
  </si>
  <si>
    <t>4.budowa drogi w ul.Nowomyśliwskiej i Komunalnej</t>
  </si>
  <si>
    <t>6.dokumentacja i utwardzenie nawierzchni pod punkty handlowe</t>
  </si>
  <si>
    <t>7.dokumentacja na przebudowę ul.Kolejowej</t>
  </si>
  <si>
    <t xml:space="preserve">8.dokumentacja na remont ul.Książąt Pomorskich </t>
  </si>
  <si>
    <t xml:space="preserve">9.zakup programu komputerowego w celu zaprowadzenia </t>
  </si>
  <si>
    <t xml:space="preserve">   ewidencji dróg</t>
  </si>
  <si>
    <t>2.adaptacja budynku wczasowego na mieszkalny przy ul.Ludowej 2</t>
  </si>
  <si>
    <t>5.zakup zestawu konferencyjnego -nagłośnienie</t>
  </si>
  <si>
    <t>6.projekt i rozbudowa budynku szkoły nr 2 w Wapnicy</t>
  </si>
  <si>
    <t>opracowanie koncepcji zagospodarowania budynku WIKLINY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</si>
</sst>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0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7" fillId="0" borderId="1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3.75390625" style="0" customWidth="1"/>
    <col min="3" max="3" width="12.125" style="0" customWidth="1"/>
    <col min="4" max="4" width="11.75390625" style="4" customWidth="1"/>
    <col min="5" max="5" width="10.25390625" style="4" customWidth="1"/>
    <col min="6" max="6" width="10.75390625" style="0" customWidth="1"/>
    <col min="7" max="7" width="2.25390625" style="0" customWidth="1"/>
    <col min="8" max="8" width="13.625" style="4" customWidth="1"/>
    <col min="9" max="9" width="9.125" style="50" customWidth="1"/>
    <col min="10" max="11" width="12.75390625" style="0" bestFit="1" customWidth="1"/>
  </cols>
  <sheetData>
    <row r="2" spans="1:9" ht="15">
      <c r="A2" s="13" t="s">
        <v>287</v>
      </c>
      <c r="B2" s="14"/>
      <c r="C2" s="14"/>
      <c r="D2" s="15"/>
      <c r="E2" s="15"/>
      <c r="F2" s="14"/>
      <c r="G2" s="14"/>
      <c r="H2" s="15"/>
      <c r="I2" s="51"/>
    </row>
    <row r="3" spans="1:9" ht="15">
      <c r="A3" s="13"/>
      <c r="B3" s="14"/>
      <c r="C3" s="14"/>
      <c r="D3" s="15"/>
      <c r="E3" s="15"/>
      <c r="F3" s="14"/>
      <c r="G3" s="14"/>
      <c r="H3" s="32"/>
      <c r="I3" s="51"/>
    </row>
    <row r="5" spans="1:9" s="27" customFormat="1" ht="14.25">
      <c r="A5" s="27" t="s">
        <v>288</v>
      </c>
      <c r="D5" s="28"/>
      <c r="E5" s="28"/>
      <c r="H5" s="28"/>
      <c r="I5" s="50"/>
    </row>
    <row r="7" ht="12.75">
      <c r="A7" t="s">
        <v>289</v>
      </c>
    </row>
    <row r="9" ht="12.75">
      <c r="A9" t="s">
        <v>290</v>
      </c>
    </row>
    <row r="11" ht="12.75">
      <c r="A11" t="s">
        <v>180</v>
      </c>
    </row>
    <row r="13" ht="12.75">
      <c r="A13" t="s">
        <v>291</v>
      </c>
    </row>
    <row r="15" ht="12.75">
      <c r="A15" t="s">
        <v>292</v>
      </c>
    </row>
    <row r="17" ht="12.75">
      <c r="A17" t="s">
        <v>131</v>
      </c>
    </row>
    <row r="18" ht="12.75">
      <c r="A18" t="s">
        <v>293</v>
      </c>
    </row>
    <row r="19" ht="12.75">
      <c r="A19" t="s">
        <v>294</v>
      </c>
    </row>
    <row r="21" ht="12.75">
      <c r="A21" t="s">
        <v>295</v>
      </c>
    </row>
    <row r="22" ht="12.75">
      <c r="A22" t="s">
        <v>296</v>
      </c>
    </row>
    <row r="23" ht="12.75">
      <c r="A23" t="s">
        <v>297</v>
      </c>
    </row>
    <row r="25" spans="1:9" s="17" customFormat="1" ht="12.75">
      <c r="A25" s="26" t="s">
        <v>298</v>
      </c>
      <c r="D25" s="22"/>
      <c r="E25" s="22"/>
      <c r="H25" s="22"/>
      <c r="I25" s="50"/>
    </row>
    <row r="26" spans="1:9" s="17" customFormat="1" ht="12.75">
      <c r="A26" s="26" t="s">
        <v>300</v>
      </c>
      <c r="D26" s="22"/>
      <c r="E26" s="22"/>
      <c r="H26" s="22"/>
      <c r="I26" s="50"/>
    </row>
    <row r="27" ht="12.75">
      <c r="A27" s="16"/>
    </row>
    <row r="28" spans="1:9" s="17" customFormat="1" ht="12.75">
      <c r="A28" s="26" t="s">
        <v>409</v>
      </c>
      <c r="D28" s="22"/>
      <c r="E28" s="22"/>
      <c r="H28" s="22"/>
      <c r="I28" s="50"/>
    </row>
    <row r="29" spans="1:11" s="17" customFormat="1" ht="12.75">
      <c r="A29" s="26" t="s">
        <v>411</v>
      </c>
      <c r="D29" s="22"/>
      <c r="E29" s="22"/>
      <c r="H29" s="22"/>
      <c r="I29" s="50"/>
      <c r="K29" s="33"/>
    </row>
    <row r="30" spans="1:11" s="17" customFormat="1" ht="12.75">
      <c r="A30" s="26" t="s">
        <v>301</v>
      </c>
      <c r="D30" s="22"/>
      <c r="E30" s="22"/>
      <c r="H30" s="22"/>
      <c r="I30" s="50"/>
      <c r="K30" s="33"/>
    </row>
    <row r="31" spans="1:11" s="17" customFormat="1" ht="12.75">
      <c r="A31" s="26" t="s">
        <v>412</v>
      </c>
      <c r="D31" s="22"/>
      <c r="E31" s="22"/>
      <c r="H31" s="22"/>
      <c r="I31" s="50"/>
      <c r="K31" s="33"/>
    </row>
    <row r="32" spans="1:9" s="17" customFormat="1" ht="12.75">
      <c r="A32" s="26"/>
      <c r="D32" s="22"/>
      <c r="E32" s="22"/>
      <c r="H32" s="22"/>
      <c r="I32" s="50"/>
    </row>
    <row r="33" spans="1:9" s="17" customFormat="1" ht="12.75">
      <c r="A33" s="26" t="s">
        <v>410</v>
      </c>
      <c r="D33" s="22"/>
      <c r="E33" s="22"/>
      <c r="H33" s="22"/>
      <c r="I33" s="50"/>
    </row>
    <row r="34" spans="1:9" s="17" customFormat="1" ht="12.75">
      <c r="A34" s="26" t="s">
        <v>303</v>
      </c>
      <c r="D34" s="22"/>
      <c r="E34" s="22"/>
      <c r="H34" s="33">
        <f>11779740-H35</f>
        <v>7279740</v>
      </c>
      <c r="I34" s="50"/>
    </row>
    <row r="35" spans="1:10" s="17" customFormat="1" ht="12.75">
      <c r="A35" s="26" t="s">
        <v>302</v>
      </c>
      <c r="D35" s="22"/>
      <c r="E35" s="22"/>
      <c r="H35" s="33">
        <v>4500000</v>
      </c>
      <c r="I35" s="50"/>
      <c r="J35" s="33"/>
    </row>
    <row r="36" spans="1:9" s="17" customFormat="1" ht="12.75">
      <c r="A36" s="26"/>
      <c r="D36" s="22"/>
      <c r="E36" s="22"/>
      <c r="H36" s="22"/>
      <c r="I36" s="50"/>
    </row>
    <row r="37" spans="1:9" s="17" customFormat="1" ht="12.75">
      <c r="A37" s="26"/>
      <c r="D37" s="22"/>
      <c r="E37" s="22"/>
      <c r="H37" s="22"/>
      <c r="I37" s="50"/>
    </row>
    <row r="38" spans="1:9" s="17" customFormat="1" ht="12.75">
      <c r="A38" s="26" t="s">
        <v>304</v>
      </c>
      <c r="D38" s="22"/>
      <c r="E38" s="22"/>
      <c r="H38" s="22"/>
      <c r="I38" s="50"/>
    </row>
    <row r="39" spans="1:9" s="17" customFormat="1" ht="12.75">
      <c r="A39" s="26" t="s">
        <v>305</v>
      </c>
      <c r="D39" s="22"/>
      <c r="E39" s="22"/>
      <c r="H39" s="33">
        <f>9674300-H40</f>
        <v>2394560</v>
      </c>
      <c r="I39" s="50"/>
    </row>
    <row r="40" spans="1:10" s="17" customFormat="1" ht="12.75">
      <c r="A40" s="26" t="s">
        <v>299</v>
      </c>
      <c r="D40" s="22"/>
      <c r="E40" s="22"/>
      <c r="H40" s="33">
        <v>7279740</v>
      </c>
      <c r="I40" s="50"/>
      <c r="J40" s="33"/>
    </row>
    <row r="41" spans="1:9" s="17" customFormat="1" ht="12.75">
      <c r="A41" s="26"/>
      <c r="D41" s="22"/>
      <c r="E41" s="22"/>
      <c r="H41" s="33"/>
      <c r="I41" s="50"/>
    </row>
    <row r="42" spans="4:9" s="17" customFormat="1" ht="12.75">
      <c r="D42" s="22"/>
      <c r="E42" s="22"/>
      <c r="H42" s="33"/>
      <c r="I42" s="50"/>
    </row>
    <row r="43" spans="1:9" s="3" customFormat="1" ht="12.75">
      <c r="A43" s="3" t="s">
        <v>146</v>
      </c>
      <c r="D43" s="8"/>
      <c r="E43" s="8"/>
      <c r="H43" s="34">
        <f>27622994+150000</f>
        <v>27772994</v>
      </c>
      <c r="I43" s="52"/>
    </row>
    <row r="44" spans="1:8" ht="12.75">
      <c r="A44" s="3" t="s">
        <v>147</v>
      </c>
      <c r="H44" s="35">
        <f>32925622.34+150000</f>
        <v>33075622.34</v>
      </c>
    </row>
    <row r="45" spans="1:9" s="18" customFormat="1" ht="12.75">
      <c r="A45" s="18" t="s">
        <v>148</v>
      </c>
      <c r="D45" s="19"/>
      <c r="E45" s="19"/>
      <c r="H45" s="35">
        <f>H43-H44</f>
        <v>-5302628.34</v>
      </c>
      <c r="I45" s="52"/>
    </row>
    <row r="46" spans="1:9" s="18" customFormat="1" ht="12.75">
      <c r="A46" s="18" t="s">
        <v>153</v>
      </c>
      <c r="D46" s="19"/>
      <c r="E46" s="19"/>
      <c r="H46" s="35">
        <f>H47-H52</f>
        <v>5302628.34</v>
      </c>
      <c r="I46" s="52"/>
    </row>
    <row r="47" spans="1:9" s="18" customFormat="1" ht="12.75">
      <c r="A47" s="18" t="s">
        <v>154</v>
      </c>
      <c r="D47" s="19"/>
      <c r="E47" s="19"/>
      <c r="H47" s="35">
        <f>SUM(H49:H51)</f>
        <v>6304100.34</v>
      </c>
      <c r="I47" s="52"/>
    </row>
    <row r="48" spans="1:8" ht="12.75">
      <c r="A48" t="s">
        <v>149</v>
      </c>
      <c r="H48" s="36"/>
    </row>
    <row r="49" spans="1:8" ht="12.75">
      <c r="A49" t="s">
        <v>150</v>
      </c>
      <c r="H49" s="36">
        <v>4500000</v>
      </c>
    </row>
    <row r="50" spans="1:8" ht="12.75">
      <c r="A50" t="s">
        <v>264</v>
      </c>
      <c r="H50" s="36">
        <v>60000</v>
      </c>
    </row>
    <row r="51" spans="1:8" ht="12.75">
      <c r="A51" t="s">
        <v>225</v>
      </c>
      <c r="H51" s="36">
        <v>1744100.34</v>
      </c>
    </row>
    <row r="52" spans="1:9" s="18" customFormat="1" ht="12.75">
      <c r="A52" s="18" t="s">
        <v>155</v>
      </c>
      <c r="D52" s="19"/>
      <c r="E52" s="19"/>
      <c r="H52" s="35">
        <f>SUM(H54:H56)</f>
        <v>1001472</v>
      </c>
      <c r="I52" s="52"/>
    </row>
    <row r="53" spans="1:8" ht="12.75">
      <c r="A53" t="s">
        <v>149</v>
      </c>
      <c r="H53" s="36"/>
    </row>
    <row r="54" spans="1:8" ht="12.75">
      <c r="A54" t="s">
        <v>151</v>
      </c>
      <c r="H54" s="36">
        <v>927029</v>
      </c>
    </row>
    <row r="55" spans="1:8" ht="12.75">
      <c r="A55" t="s">
        <v>152</v>
      </c>
      <c r="H55" s="36">
        <v>14443</v>
      </c>
    </row>
    <row r="56" spans="1:8" ht="12.75">
      <c r="A56" t="s">
        <v>265</v>
      </c>
      <c r="H56" s="36">
        <v>60000</v>
      </c>
    </row>
    <row r="62" spans="1:9" ht="14.25">
      <c r="A62" s="2" t="s">
        <v>0</v>
      </c>
      <c r="I62" s="53" t="s">
        <v>1</v>
      </c>
    </row>
    <row r="63" spans="1:9" ht="14.25">
      <c r="A63" s="2"/>
      <c r="H63" s="36"/>
      <c r="I63" s="53"/>
    </row>
    <row r="64" spans="1:9" s="3" customFormat="1" ht="12.75">
      <c r="A64" s="3" t="s">
        <v>55</v>
      </c>
      <c r="B64" s="3" t="s">
        <v>56</v>
      </c>
      <c r="D64" s="8"/>
      <c r="E64" s="8"/>
      <c r="H64" s="34">
        <f>H65</f>
        <v>250000</v>
      </c>
      <c r="I64" s="54">
        <f>H64/H$210</f>
        <v>0.009001550210971133</v>
      </c>
    </row>
    <row r="65" spans="2:9" s="3" customFormat="1" ht="12.75">
      <c r="B65" t="s">
        <v>2</v>
      </c>
      <c r="D65" s="8"/>
      <c r="E65" s="8"/>
      <c r="H65" s="34">
        <f>SUM(H66:H68)</f>
        <v>250000</v>
      </c>
      <c r="I65" s="54">
        <f>H65/H$210</f>
        <v>0.009001550210971133</v>
      </c>
    </row>
    <row r="66" spans="2:9" s="3" customFormat="1" ht="12.75">
      <c r="B66" t="s">
        <v>3</v>
      </c>
      <c r="D66" s="8"/>
      <c r="E66" s="8"/>
      <c r="H66" s="34"/>
      <c r="I66" s="54"/>
    </row>
    <row r="67" spans="2:9" s="3" customFormat="1" ht="12.75">
      <c r="B67" s="6" t="s">
        <v>413</v>
      </c>
      <c r="D67" s="8"/>
      <c r="E67" s="8"/>
      <c r="H67" s="37">
        <v>100000</v>
      </c>
      <c r="I67" s="55">
        <f>H67/H$210</f>
        <v>0.003600620084388453</v>
      </c>
    </row>
    <row r="68" spans="2:9" s="3" customFormat="1" ht="12.75">
      <c r="B68" s="6" t="s">
        <v>414</v>
      </c>
      <c r="D68" s="8"/>
      <c r="E68" s="8"/>
      <c r="H68" s="37">
        <v>150000</v>
      </c>
      <c r="I68" s="55">
        <f>H68/H$210</f>
        <v>0.005400930126582679</v>
      </c>
    </row>
    <row r="69" spans="2:9" s="3" customFormat="1" ht="12.75">
      <c r="B69" s="6"/>
      <c r="D69" s="8"/>
      <c r="E69" s="8"/>
      <c r="H69" s="37"/>
      <c r="I69" s="52"/>
    </row>
    <row r="70" spans="1:9" s="18" customFormat="1" ht="12.75">
      <c r="A70" s="18" t="s">
        <v>33</v>
      </c>
      <c r="B70" s="18" t="s">
        <v>34</v>
      </c>
      <c r="D70" s="19"/>
      <c r="E70" s="19"/>
      <c r="H70" s="35">
        <f>SUM(H73:H74)</f>
        <v>640600</v>
      </c>
      <c r="I70" s="54">
        <f>H70/H$210</f>
        <v>0.02306557226059243</v>
      </c>
    </row>
    <row r="71" spans="2:9" s="18" customFormat="1" ht="12.75">
      <c r="B71" t="s">
        <v>2</v>
      </c>
      <c r="D71" s="19"/>
      <c r="E71" s="19"/>
      <c r="H71" s="35"/>
      <c r="I71" s="52"/>
    </row>
    <row r="72" spans="2:9" s="18" customFormat="1" ht="12.75">
      <c r="B72" t="s">
        <v>3</v>
      </c>
      <c r="D72" s="19"/>
      <c r="E72" s="19"/>
      <c r="H72" s="35"/>
      <c r="I72" s="52"/>
    </row>
    <row r="73" spans="2:9" ht="12.75">
      <c r="B73" t="s">
        <v>105</v>
      </c>
      <c r="H73" s="38">
        <v>640000</v>
      </c>
      <c r="I73" s="55">
        <f>H73/H$210</f>
        <v>0.0230439685400861</v>
      </c>
    </row>
    <row r="74" spans="2:9" ht="12.75">
      <c r="B74" t="s">
        <v>106</v>
      </c>
      <c r="H74" s="38">
        <v>600</v>
      </c>
      <c r="I74" s="55">
        <f>H74/H$210</f>
        <v>2.1603720506330718E-05</v>
      </c>
    </row>
    <row r="75" spans="2:9" s="3" customFormat="1" ht="12.75">
      <c r="B75" s="6"/>
      <c r="D75" s="8"/>
      <c r="E75" s="8"/>
      <c r="H75" s="37"/>
      <c r="I75" s="52"/>
    </row>
    <row r="76" spans="1:9" s="3" customFormat="1" ht="12.75">
      <c r="A76" s="3" t="s">
        <v>35</v>
      </c>
      <c r="B76" s="3" t="s">
        <v>36</v>
      </c>
      <c r="D76" s="8"/>
      <c r="E76" s="8"/>
      <c r="H76" s="39"/>
      <c r="I76" s="54"/>
    </row>
    <row r="77" spans="2:9" ht="12.75">
      <c r="B77" t="s">
        <v>2</v>
      </c>
      <c r="H77" s="39">
        <f>SUM(H80:H94)</f>
        <v>13091523</v>
      </c>
      <c r="I77" s="54">
        <f>H77/H$210</f>
        <v>0.47137600649033373</v>
      </c>
    </row>
    <row r="78" spans="2:9" ht="12.75">
      <c r="B78" t="s">
        <v>3</v>
      </c>
      <c r="H78" s="40"/>
      <c r="I78" s="54"/>
    </row>
    <row r="79" spans="2:9" ht="12.75">
      <c r="B79" t="s">
        <v>132</v>
      </c>
      <c r="H79" s="40"/>
      <c r="I79" s="55"/>
    </row>
    <row r="80" spans="2:9" ht="12.75">
      <c r="B80" t="s">
        <v>37</v>
      </c>
      <c r="H80" s="40">
        <v>908223</v>
      </c>
      <c r="I80" s="55">
        <f>H80/H$210</f>
        <v>0.03270165974903534</v>
      </c>
    </row>
    <row r="81" spans="2:9" ht="12.75">
      <c r="B81" t="s">
        <v>156</v>
      </c>
      <c r="H81" s="40"/>
      <c r="I81" s="55"/>
    </row>
    <row r="82" spans="2:9" ht="12.75">
      <c r="B82" t="s">
        <v>38</v>
      </c>
      <c r="H82" s="40"/>
      <c r="I82" s="55"/>
    </row>
    <row r="83" spans="2:9" ht="12.75">
      <c r="B83" t="s">
        <v>39</v>
      </c>
      <c r="H83" s="40">
        <v>1200000</v>
      </c>
      <c r="I83" s="55">
        <f>H83/H$210</f>
        <v>0.043207441012661434</v>
      </c>
    </row>
    <row r="84" spans="2:9" ht="12.75">
      <c r="B84" t="s">
        <v>157</v>
      </c>
      <c r="H84" s="40"/>
      <c r="I84" s="55"/>
    </row>
    <row r="85" spans="2:9" ht="12.75">
      <c r="B85" t="s">
        <v>226</v>
      </c>
      <c r="H85" s="40">
        <v>200000</v>
      </c>
      <c r="I85" s="55">
        <f>H85/H$210</f>
        <v>0.007201240168776906</v>
      </c>
    </row>
    <row r="86" spans="2:9" ht="12.75">
      <c r="B86" t="s">
        <v>181</v>
      </c>
      <c r="H86" s="40"/>
      <c r="I86" s="55"/>
    </row>
    <row r="87" spans="2:9" ht="12.75">
      <c r="B87" t="s">
        <v>182</v>
      </c>
      <c r="H87" s="40">
        <v>200000</v>
      </c>
      <c r="I87" s="55">
        <f>H87/H$210</f>
        <v>0.007201240168776906</v>
      </c>
    </row>
    <row r="88" spans="2:9" ht="12.75">
      <c r="B88" t="s">
        <v>266</v>
      </c>
      <c r="H88" s="40">
        <f>150000+665000</f>
        <v>815000</v>
      </c>
      <c r="I88" s="55">
        <f>H88/H$210</f>
        <v>0.029345053687765892</v>
      </c>
    </row>
    <row r="89" spans="2:9" ht="12.75">
      <c r="B89" t="s">
        <v>183</v>
      </c>
      <c r="H89" s="40">
        <f>SUM(F90:F92)</f>
        <v>9674300</v>
      </c>
      <c r="I89" s="55">
        <f>H89/H$210</f>
        <v>0.3483347888239921</v>
      </c>
    </row>
    <row r="90" spans="2:9" ht="12.75">
      <c r="B90" t="s">
        <v>306</v>
      </c>
      <c r="F90" s="46">
        <v>9464300</v>
      </c>
      <c r="G90" s="4"/>
      <c r="H90" s="40"/>
      <c r="I90" s="55"/>
    </row>
    <row r="91" spans="2:9" ht="12.75">
      <c r="B91" t="s">
        <v>307</v>
      </c>
      <c r="F91" s="46">
        <v>200000</v>
      </c>
      <c r="G91" s="4"/>
      <c r="H91" s="40"/>
      <c r="I91" s="55"/>
    </row>
    <row r="92" spans="2:9" ht="12.75">
      <c r="B92" t="s">
        <v>308</v>
      </c>
      <c r="F92" s="46">
        <v>10000</v>
      </c>
      <c r="G92" s="4"/>
      <c r="H92" s="40"/>
      <c r="I92" s="55"/>
    </row>
    <row r="93" spans="2:9" ht="13.5" customHeight="1">
      <c r="B93" s="7" t="s">
        <v>309</v>
      </c>
      <c r="C93" s="7"/>
      <c r="H93" s="40">
        <v>76000</v>
      </c>
      <c r="I93" s="55">
        <f>H93/H$210</f>
        <v>0.0027364712641352244</v>
      </c>
    </row>
    <row r="94" spans="2:9" ht="13.5" customHeight="1">
      <c r="B94" s="7" t="s">
        <v>227</v>
      </c>
      <c r="C94" s="7"/>
      <c r="H94" s="40">
        <v>18000</v>
      </c>
      <c r="I94" s="55">
        <f>H94/H$210</f>
        <v>0.0006481116151899215</v>
      </c>
    </row>
    <row r="95" spans="2:9" ht="12" customHeight="1">
      <c r="B95" s="7"/>
      <c r="C95" s="7"/>
      <c r="H95" s="40"/>
      <c r="I95" s="55"/>
    </row>
    <row r="96" spans="1:9" s="18" customFormat="1" ht="12" customHeight="1">
      <c r="A96" s="18" t="s">
        <v>59</v>
      </c>
      <c r="B96" s="20" t="s">
        <v>60</v>
      </c>
      <c r="C96" s="20"/>
      <c r="D96" s="19"/>
      <c r="E96" s="19"/>
      <c r="H96" s="41">
        <f>SUM(H98:H98)</f>
        <v>28000</v>
      </c>
      <c r="I96" s="54">
        <f>H96/H$210</f>
        <v>0.001008173623628767</v>
      </c>
    </row>
    <row r="97" spans="2:9" ht="12" customHeight="1">
      <c r="B97" s="7" t="s">
        <v>310</v>
      </c>
      <c r="C97" s="7"/>
      <c r="H97" s="40"/>
      <c r="I97" s="55"/>
    </row>
    <row r="98" spans="2:9" ht="12" customHeight="1">
      <c r="B98" s="7" t="s">
        <v>311</v>
      </c>
      <c r="C98" s="7"/>
      <c r="H98" s="40">
        <v>28000</v>
      </c>
      <c r="I98" s="55">
        <f>H98/H$210</f>
        <v>0.001008173623628767</v>
      </c>
    </row>
    <row r="99" spans="2:9" ht="12" customHeight="1">
      <c r="B99" s="7"/>
      <c r="C99" s="7"/>
      <c r="H99" s="40"/>
      <c r="I99" s="55"/>
    </row>
    <row r="100" spans="1:9" s="3" customFormat="1" ht="12.75">
      <c r="A100" s="3" t="s">
        <v>40</v>
      </c>
      <c r="B100" s="3" t="s">
        <v>41</v>
      </c>
      <c r="D100" s="8"/>
      <c r="E100" s="8"/>
      <c r="H100" s="39"/>
      <c r="I100" s="55"/>
    </row>
    <row r="101" spans="2:9" ht="12.75">
      <c r="B101" t="s">
        <v>5</v>
      </c>
      <c r="H101" s="39">
        <f>SUM(H104:H108)</f>
        <v>226760</v>
      </c>
      <c r="I101" s="54">
        <f>H101/H$210</f>
        <v>0.008164766103359256</v>
      </c>
    </row>
    <row r="102" spans="2:9" ht="12.75">
      <c r="B102" t="s">
        <v>15</v>
      </c>
      <c r="H102" s="42"/>
      <c r="I102" s="55"/>
    </row>
    <row r="103" spans="2:9" ht="12.75">
      <c r="B103" t="s">
        <v>403</v>
      </c>
      <c r="H103" s="40"/>
      <c r="I103" s="55"/>
    </row>
    <row r="104" spans="2:9" ht="12.75">
      <c r="B104" t="s">
        <v>107</v>
      </c>
      <c r="H104" s="40">
        <v>69000</v>
      </c>
      <c r="I104" s="55">
        <f>H104/H$210</f>
        <v>0.0024844278582280325</v>
      </c>
    </row>
    <row r="105" spans="2:9" ht="12.75">
      <c r="B105" t="s">
        <v>228</v>
      </c>
      <c r="H105" s="40">
        <v>1300</v>
      </c>
      <c r="I105" s="55">
        <f>H105/H$210</f>
        <v>4.680806109704989E-05</v>
      </c>
    </row>
    <row r="106" spans="2:9" ht="12.75">
      <c r="B106" t="s">
        <v>267</v>
      </c>
      <c r="H106" s="40">
        <f>22860+500+100</f>
        <v>23460</v>
      </c>
      <c r="I106" s="55">
        <f>H106/H$210</f>
        <v>0.0008447054717975311</v>
      </c>
    </row>
    <row r="107" spans="2:9" ht="12.75">
      <c r="B107" t="s">
        <v>268</v>
      </c>
      <c r="H107" s="40">
        <v>33000</v>
      </c>
      <c r="I107" s="55">
        <f>H107/H$210</f>
        <v>0.0011882046278481895</v>
      </c>
    </row>
    <row r="108" spans="2:9" ht="12" customHeight="1">
      <c r="B108" s="7" t="s">
        <v>269</v>
      </c>
      <c r="C108" s="7"/>
      <c r="H108" s="40">
        <v>100000</v>
      </c>
      <c r="I108" s="55">
        <f>H108/H$210</f>
        <v>0.003600620084388453</v>
      </c>
    </row>
    <row r="109" spans="2:9" ht="12" customHeight="1">
      <c r="B109" s="7"/>
      <c r="C109" s="7"/>
      <c r="H109" s="40"/>
      <c r="I109" s="55"/>
    </row>
    <row r="110" spans="1:9" s="18" customFormat="1" ht="12" customHeight="1">
      <c r="A110" s="18" t="s">
        <v>42</v>
      </c>
      <c r="B110" s="20" t="s">
        <v>43</v>
      </c>
      <c r="C110" s="20"/>
      <c r="D110" s="19"/>
      <c r="E110" s="19"/>
      <c r="H110" s="41">
        <f>SUM(H111:H111)</f>
        <v>1104</v>
      </c>
      <c r="I110" s="54">
        <f>H110/H$210</f>
        <v>3.975084573164852E-05</v>
      </c>
    </row>
    <row r="111" spans="2:9" ht="12" customHeight="1">
      <c r="B111" t="s">
        <v>184</v>
      </c>
      <c r="C111" s="7"/>
      <c r="H111" s="40">
        <v>1104</v>
      </c>
      <c r="I111" s="55">
        <f>H111/H$210</f>
        <v>3.975084573164852E-05</v>
      </c>
    </row>
    <row r="112" spans="2:9" ht="12" customHeight="1">
      <c r="B112" s="7"/>
      <c r="C112" s="7"/>
      <c r="H112" s="40"/>
      <c r="I112" s="55"/>
    </row>
    <row r="113" spans="1:9" s="3" customFormat="1" ht="12.75">
      <c r="A113" s="3" t="s">
        <v>44</v>
      </c>
      <c r="B113" s="21" t="s">
        <v>45</v>
      </c>
      <c r="D113" s="8"/>
      <c r="E113" s="8"/>
      <c r="H113" s="39">
        <f>SUM(H114:H114)</f>
        <v>20000</v>
      </c>
      <c r="I113" s="54">
        <f>H113/H$210</f>
        <v>0.0007201240168776906</v>
      </c>
    </row>
    <row r="114" spans="2:9" ht="12" customHeight="1">
      <c r="B114" s="7" t="s">
        <v>185</v>
      </c>
      <c r="C114" s="7"/>
      <c r="H114" s="40">
        <v>20000</v>
      </c>
      <c r="I114" s="55">
        <f>H114/H$210</f>
        <v>0.0007201240168776906</v>
      </c>
    </row>
    <row r="115" spans="2:9" ht="12" customHeight="1">
      <c r="B115" s="7"/>
      <c r="C115" s="7"/>
      <c r="H115" s="40"/>
      <c r="I115" s="55"/>
    </row>
    <row r="116" spans="2:9" ht="12" customHeight="1">
      <c r="B116" s="7"/>
      <c r="C116" s="7"/>
      <c r="H116" s="40"/>
      <c r="I116" s="55"/>
    </row>
    <row r="117" spans="2:9" ht="12" customHeight="1">
      <c r="B117" s="7"/>
      <c r="C117" s="7"/>
      <c r="H117" s="40"/>
      <c r="I117" s="55"/>
    </row>
    <row r="118" spans="2:9" ht="12" customHeight="1">
      <c r="B118" s="7"/>
      <c r="C118" s="7"/>
      <c r="H118" s="40"/>
      <c r="I118" s="55"/>
    </row>
    <row r="119" spans="2:9" ht="12" customHeight="1">
      <c r="B119" s="7"/>
      <c r="C119" s="7"/>
      <c r="H119" s="40"/>
      <c r="I119" s="55"/>
    </row>
    <row r="120" spans="1:9" s="3" customFormat="1" ht="12.75">
      <c r="A120" s="3" t="s">
        <v>46</v>
      </c>
      <c r="B120" s="3" t="s">
        <v>16</v>
      </c>
      <c r="D120" s="8"/>
      <c r="E120" s="8"/>
      <c r="H120" s="40"/>
      <c r="I120" s="55"/>
    </row>
    <row r="121" spans="2:9" s="3" customFormat="1" ht="12.75">
      <c r="B121" s="3" t="s">
        <v>158</v>
      </c>
      <c r="D121" s="8"/>
      <c r="E121" s="8"/>
      <c r="H121" s="40"/>
      <c r="I121" s="55"/>
    </row>
    <row r="122" spans="2:9" s="3" customFormat="1" ht="12.75">
      <c r="B122" s="3" t="s">
        <v>174</v>
      </c>
      <c r="D122" s="8"/>
      <c r="E122" s="8"/>
      <c r="H122" s="40"/>
      <c r="I122" s="55"/>
    </row>
    <row r="123" spans="2:9" ht="12.75">
      <c r="B123" t="s">
        <v>17</v>
      </c>
      <c r="H123" s="39">
        <f>SUM(H126:H152)</f>
        <v>9153345</v>
      </c>
      <c r="I123" s="54">
        <f>H123/H$210</f>
        <v>0.32957717846336626</v>
      </c>
    </row>
    <row r="124" spans="2:9" ht="12.75">
      <c r="B124" t="s">
        <v>15</v>
      </c>
      <c r="H124" s="40"/>
      <c r="I124" s="55"/>
    </row>
    <row r="125" spans="2:9" ht="12.75">
      <c r="B125" s="6" t="s">
        <v>47</v>
      </c>
      <c r="H125" s="40"/>
      <c r="I125" s="55"/>
    </row>
    <row r="126" spans="2:9" ht="12.75">
      <c r="B126" s="6" t="s">
        <v>48</v>
      </c>
      <c r="H126" s="40">
        <v>138000</v>
      </c>
      <c r="I126" s="55">
        <f>H126/H$210</f>
        <v>0.004968855716456065</v>
      </c>
    </row>
    <row r="127" spans="2:9" ht="12.75">
      <c r="B127" s="6" t="s">
        <v>108</v>
      </c>
      <c r="H127" s="40"/>
      <c r="I127" s="55"/>
    </row>
    <row r="128" spans="2:9" ht="12.75">
      <c r="B128" s="6" t="s">
        <v>109</v>
      </c>
      <c r="H128" s="40">
        <v>700</v>
      </c>
      <c r="I128" s="55">
        <f aca="true" t="shared" si="0" ref="I128:I146">H128/H$210</f>
        <v>2.5204340590719173E-05</v>
      </c>
    </row>
    <row r="129" spans="2:9" ht="12.75">
      <c r="B129" s="17" t="s">
        <v>159</v>
      </c>
      <c r="F129" t="s">
        <v>186</v>
      </c>
      <c r="H129" s="40">
        <v>3718000</v>
      </c>
      <c r="I129" s="55">
        <f t="shared" si="0"/>
        <v>0.1338710547375627</v>
      </c>
    </row>
    <row r="130" spans="2:9" ht="12.75">
      <c r="B130" t="s">
        <v>160</v>
      </c>
      <c r="F130" t="s">
        <v>186</v>
      </c>
      <c r="H130" s="40">
        <v>500</v>
      </c>
      <c r="I130" s="55">
        <f t="shared" si="0"/>
        <v>1.8003100421942267E-05</v>
      </c>
    </row>
    <row r="131" spans="2:9" ht="12.75">
      <c r="B131" s="17" t="s">
        <v>161</v>
      </c>
      <c r="F131" t="s">
        <v>186</v>
      </c>
      <c r="H131" s="40">
        <v>58000</v>
      </c>
      <c r="I131" s="55">
        <f t="shared" si="0"/>
        <v>0.0020883596489453026</v>
      </c>
    </row>
    <row r="132" spans="2:9" ht="12.75">
      <c r="B132" s="6" t="s">
        <v>162</v>
      </c>
      <c r="C132" s="6"/>
      <c r="D132" s="9"/>
      <c r="E132" s="9"/>
      <c r="F132" t="s">
        <v>186</v>
      </c>
      <c r="G132" s="6"/>
      <c r="H132" s="40">
        <v>9000</v>
      </c>
      <c r="I132" s="55">
        <f t="shared" si="0"/>
        <v>0.00032405580759496075</v>
      </c>
    </row>
    <row r="133" spans="2:9" ht="12.75">
      <c r="B133" s="17" t="s">
        <v>188</v>
      </c>
      <c r="C133" s="6"/>
      <c r="D133" s="9"/>
      <c r="E133" s="9"/>
      <c r="F133" t="s">
        <v>186</v>
      </c>
      <c r="G133" s="6"/>
      <c r="H133" s="40">
        <v>10000</v>
      </c>
      <c r="I133" s="55">
        <f t="shared" si="0"/>
        <v>0.0003600620084388453</v>
      </c>
    </row>
    <row r="134" spans="2:9" ht="12.75">
      <c r="B134" s="6" t="s">
        <v>229</v>
      </c>
      <c r="C134" s="6"/>
      <c r="D134" s="9"/>
      <c r="E134" s="9"/>
      <c r="F134" s="6"/>
      <c r="G134" s="6"/>
      <c r="H134" s="40">
        <v>6300</v>
      </c>
      <c r="I134" s="55">
        <f t="shared" si="0"/>
        <v>0.00022683906531647256</v>
      </c>
    </row>
    <row r="135" spans="2:9" ht="12.75">
      <c r="B135" s="6" t="s">
        <v>189</v>
      </c>
      <c r="C135" s="6"/>
      <c r="D135" s="9"/>
      <c r="E135" s="9"/>
      <c r="F135" t="s">
        <v>186</v>
      </c>
      <c r="G135" s="6"/>
      <c r="H135" s="40">
        <v>50000</v>
      </c>
      <c r="I135" s="55">
        <f t="shared" si="0"/>
        <v>0.0018003100421942265</v>
      </c>
    </row>
    <row r="136" spans="2:9" ht="12.75">
      <c r="B136" s="17" t="s">
        <v>190</v>
      </c>
      <c r="C136" s="6"/>
      <c r="D136" s="9"/>
      <c r="E136" s="9"/>
      <c r="F136" s="31" t="s">
        <v>187</v>
      </c>
      <c r="G136" s="6"/>
      <c r="H136" s="40">
        <v>1338000</v>
      </c>
      <c r="I136" s="55">
        <f t="shared" si="0"/>
        <v>0.0481762967291175</v>
      </c>
    </row>
    <row r="137" spans="2:9" ht="12.75">
      <c r="B137" t="s">
        <v>191</v>
      </c>
      <c r="C137" s="6"/>
      <c r="D137" s="9"/>
      <c r="E137" s="9"/>
      <c r="F137" s="31" t="s">
        <v>187</v>
      </c>
      <c r="G137" s="6"/>
      <c r="H137" s="40">
        <v>4400</v>
      </c>
      <c r="I137" s="55">
        <f t="shared" si="0"/>
        <v>0.00015842728371309194</v>
      </c>
    </row>
    <row r="138" spans="2:9" ht="12.75">
      <c r="B138" s="6" t="s">
        <v>230</v>
      </c>
      <c r="C138" s="6"/>
      <c r="D138" s="9"/>
      <c r="E138" s="9"/>
      <c r="F138" s="31" t="s">
        <v>187</v>
      </c>
      <c r="G138" s="6"/>
      <c r="H138" s="40">
        <v>55000</v>
      </c>
      <c r="I138" s="55">
        <f t="shared" si="0"/>
        <v>0.001980341046413649</v>
      </c>
    </row>
    <row r="139" spans="2:9" ht="12.75">
      <c r="B139" s="6" t="s">
        <v>231</v>
      </c>
      <c r="C139" s="6"/>
      <c r="D139" s="9"/>
      <c r="E139" s="9"/>
      <c r="F139" s="31" t="s">
        <v>187</v>
      </c>
      <c r="G139" s="6"/>
      <c r="H139" s="40">
        <v>46000</v>
      </c>
      <c r="I139" s="55">
        <f t="shared" si="0"/>
        <v>0.0016562852388186883</v>
      </c>
    </row>
    <row r="140" spans="2:9" ht="12.75">
      <c r="B140" s="6" t="s">
        <v>232</v>
      </c>
      <c r="C140" s="6"/>
      <c r="D140" s="9"/>
      <c r="E140" s="9"/>
      <c r="F140" s="31" t="s">
        <v>187</v>
      </c>
      <c r="G140" s="6"/>
      <c r="H140" s="40">
        <v>5000</v>
      </c>
      <c r="I140" s="55">
        <f t="shared" si="0"/>
        <v>0.00018003100421942265</v>
      </c>
    </row>
    <row r="141" spans="2:9" ht="12.75">
      <c r="B141" s="6" t="s">
        <v>233</v>
      </c>
      <c r="C141" s="6"/>
      <c r="D141" s="9"/>
      <c r="E141" s="9"/>
      <c r="F141" s="31" t="s">
        <v>187</v>
      </c>
      <c r="G141" s="6"/>
      <c r="H141" s="40">
        <v>100000</v>
      </c>
      <c r="I141" s="55">
        <f t="shared" si="0"/>
        <v>0.003600620084388453</v>
      </c>
    </row>
    <row r="142" spans="2:9" ht="12.75">
      <c r="B142" s="17" t="s">
        <v>234</v>
      </c>
      <c r="C142" s="6"/>
      <c r="D142" s="9"/>
      <c r="E142" s="9"/>
      <c r="F142" s="31" t="s">
        <v>187</v>
      </c>
      <c r="G142" s="6"/>
      <c r="H142" s="40">
        <v>300000</v>
      </c>
      <c r="I142" s="55">
        <f t="shared" si="0"/>
        <v>0.010801860253165358</v>
      </c>
    </row>
    <row r="143" spans="2:9" ht="12.75">
      <c r="B143" s="31" t="s">
        <v>235</v>
      </c>
      <c r="C143" s="6"/>
      <c r="D143" s="9"/>
      <c r="E143" s="9"/>
      <c r="F143" s="31"/>
      <c r="G143" s="6"/>
      <c r="H143" s="40">
        <v>7500</v>
      </c>
      <c r="I143" s="55">
        <f t="shared" si="0"/>
        <v>0.00027004650632913397</v>
      </c>
    </row>
    <row r="144" spans="2:9" ht="12.75">
      <c r="B144" s="6" t="s">
        <v>236</v>
      </c>
      <c r="C144" s="6"/>
      <c r="D144" s="9"/>
      <c r="E144" s="9"/>
      <c r="F144" s="31" t="s">
        <v>187</v>
      </c>
      <c r="G144" s="6"/>
      <c r="H144" s="40">
        <v>13000</v>
      </c>
      <c r="I144" s="55">
        <f t="shared" si="0"/>
        <v>0.0004680806109704989</v>
      </c>
    </row>
    <row r="145" spans="2:9" ht="12.75">
      <c r="B145" s="6" t="s">
        <v>237</v>
      </c>
      <c r="C145" s="6"/>
      <c r="D145" s="9"/>
      <c r="E145" s="9"/>
      <c r="F145" s="6"/>
      <c r="G145" s="6"/>
      <c r="H145" s="40">
        <v>40000</v>
      </c>
      <c r="I145" s="55">
        <f t="shared" si="0"/>
        <v>0.0014402480337553812</v>
      </c>
    </row>
    <row r="146" spans="2:9" ht="12.75">
      <c r="B146" s="6" t="s">
        <v>238</v>
      </c>
      <c r="C146" s="6"/>
      <c r="D146" s="9"/>
      <c r="E146" s="9"/>
      <c r="F146" s="6"/>
      <c r="G146" s="6"/>
      <c r="H146" s="40">
        <v>270000</v>
      </c>
      <c r="I146" s="55">
        <f t="shared" si="0"/>
        <v>0.009721674227848823</v>
      </c>
    </row>
    <row r="147" spans="2:9" ht="12.75">
      <c r="B147" s="6" t="s">
        <v>270</v>
      </c>
      <c r="C147" s="6"/>
      <c r="D147" s="9"/>
      <c r="E147" s="9"/>
      <c r="F147" s="6"/>
      <c r="G147" s="6"/>
      <c r="H147" s="40"/>
      <c r="I147" s="55"/>
    </row>
    <row r="148" spans="2:9" ht="12.75">
      <c r="B148" s="6" t="s">
        <v>271</v>
      </c>
      <c r="C148" s="6"/>
      <c r="D148" s="9"/>
      <c r="E148" s="9"/>
      <c r="F148" s="6"/>
      <c r="G148" s="6"/>
      <c r="H148" s="40"/>
      <c r="I148" s="55"/>
    </row>
    <row r="149" spans="2:9" ht="12.75">
      <c r="B149" s="6" t="s">
        <v>272</v>
      </c>
      <c r="C149" s="6"/>
      <c r="D149" s="9"/>
      <c r="E149" s="9"/>
      <c r="F149" s="6"/>
      <c r="G149" s="6"/>
      <c r="H149" s="40"/>
      <c r="I149" s="55"/>
    </row>
    <row r="150" spans="2:9" ht="12.75">
      <c r="B150" s="6" t="s">
        <v>273</v>
      </c>
      <c r="C150" s="6"/>
      <c r="D150" s="9"/>
      <c r="E150" s="9"/>
      <c r="F150" s="6"/>
      <c r="G150" s="6"/>
      <c r="H150" s="40">
        <v>20000</v>
      </c>
      <c r="I150" s="55">
        <f>H150/H$210</f>
        <v>0.0007201240168776906</v>
      </c>
    </row>
    <row r="151" spans="2:9" ht="12.75">
      <c r="B151" s="6" t="s">
        <v>274</v>
      </c>
      <c r="C151" s="6"/>
      <c r="D151" s="9"/>
      <c r="E151" s="9"/>
      <c r="F151" s="6"/>
      <c r="G151" s="6"/>
      <c r="H151" s="40">
        <v>2913945</v>
      </c>
      <c r="I151" s="55">
        <f>H151/H$210</f>
        <v>0.1049200889180331</v>
      </c>
    </row>
    <row r="152" spans="2:9" ht="12.75">
      <c r="B152" s="6" t="s">
        <v>275</v>
      </c>
      <c r="C152" s="6"/>
      <c r="D152" s="9"/>
      <c r="E152" s="9"/>
      <c r="F152" s="6"/>
      <c r="G152" s="6"/>
      <c r="H152" s="40">
        <v>50000</v>
      </c>
      <c r="I152" s="55">
        <f>H152/H$210</f>
        <v>0.0018003100421942265</v>
      </c>
    </row>
    <row r="153" spans="2:9" ht="12" customHeight="1">
      <c r="B153" s="7"/>
      <c r="C153" s="7"/>
      <c r="H153" s="40"/>
      <c r="I153" s="55"/>
    </row>
    <row r="154" spans="1:9" s="3" customFormat="1" ht="12.75">
      <c r="A154" s="3" t="s">
        <v>49</v>
      </c>
      <c r="B154" s="3" t="s">
        <v>18</v>
      </c>
      <c r="D154" s="8"/>
      <c r="E154" s="8"/>
      <c r="H154" s="39">
        <f>SUM(H157:H162)</f>
        <v>2046476</v>
      </c>
      <c r="I154" s="54">
        <f>H154/H$210</f>
        <v>0.07368582587818943</v>
      </c>
    </row>
    <row r="155" spans="2:9" ht="12.75">
      <c r="B155" t="s">
        <v>404</v>
      </c>
      <c r="H155" s="40"/>
      <c r="I155" s="55"/>
    </row>
    <row r="156" spans="2:9" ht="12.75">
      <c r="B156" t="s">
        <v>192</v>
      </c>
      <c r="H156" s="40"/>
      <c r="I156" s="55"/>
    </row>
    <row r="157" spans="2:9" ht="12.75">
      <c r="B157" t="s">
        <v>193</v>
      </c>
      <c r="H157" s="42">
        <f>SUM(E159:E161)</f>
        <v>2046476</v>
      </c>
      <c r="I157" s="55">
        <f>H157/H$210</f>
        <v>0.07368582587818943</v>
      </c>
    </row>
    <row r="158" spans="2:9" ht="12.75">
      <c r="B158" t="s">
        <v>19</v>
      </c>
      <c r="H158" s="39"/>
      <c r="I158" s="55"/>
    </row>
    <row r="159" spans="2:9" ht="12.75">
      <c r="B159" t="s">
        <v>50</v>
      </c>
      <c r="E159" s="46">
        <v>1991394</v>
      </c>
      <c r="H159" s="39"/>
      <c r="I159" s="55"/>
    </row>
    <row r="160" spans="2:9" ht="12.75">
      <c r="B160" s="31" t="s">
        <v>163</v>
      </c>
      <c r="E160" s="36">
        <v>0</v>
      </c>
      <c r="H160" s="39"/>
      <c r="I160" s="55"/>
    </row>
    <row r="161" spans="2:9" ht="12.75">
      <c r="B161" s="31" t="s">
        <v>239</v>
      </c>
      <c r="E161" s="36">
        <v>55082</v>
      </c>
      <c r="H161" s="39"/>
      <c r="I161" s="55"/>
    </row>
    <row r="162" spans="2:9" ht="12.75">
      <c r="B162" s="31"/>
      <c r="E162" s="36"/>
      <c r="H162" s="39"/>
      <c r="I162" s="55"/>
    </row>
    <row r="163" spans="1:9" s="3" customFormat="1" ht="12.75">
      <c r="A163" s="3" t="s">
        <v>51</v>
      </c>
      <c r="B163" s="3" t="s">
        <v>4</v>
      </c>
      <c r="D163" s="8"/>
      <c r="E163" s="34"/>
      <c r="H163" s="39"/>
      <c r="I163" s="55"/>
    </row>
    <row r="164" spans="2:9" ht="12.75">
      <c r="B164" t="s">
        <v>5</v>
      </c>
      <c r="E164" s="36"/>
      <c r="H164" s="39">
        <f>SUM(H167:H183)</f>
        <v>529686</v>
      </c>
      <c r="I164" s="54">
        <f>H164/H$210</f>
        <v>0.019071980500193823</v>
      </c>
    </row>
    <row r="165" spans="2:9" ht="12.75">
      <c r="B165" t="s">
        <v>6</v>
      </c>
      <c r="E165" s="36"/>
      <c r="H165" s="40"/>
      <c r="I165" s="55"/>
    </row>
    <row r="166" spans="2:9" ht="12.75">
      <c r="B166" t="s">
        <v>7</v>
      </c>
      <c r="E166" s="36"/>
      <c r="H166" s="40"/>
      <c r="I166" s="55"/>
    </row>
    <row r="167" spans="2:9" ht="12.75">
      <c r="B167" t="s">
        <v>8</v>
      </c>
      <c r="E167" s="36"/>
      <c r="H167" s="40">
        <f>SUM(E169:E171)</f>
        <v>31300</v>
      </c>
      <c r="I167" s="55">
        <f>H167/H$210</f>
        <v>0.0011269940864135858</v>
      </c>
    </row>
    <row r="168" spans="2:9" ht="12.75">
      <c r="B168" t="s">
        <v>9</v>
      </c>
      <c r="E168" s="36"/>
      <c r="H168" s="40"/>
      <c r="I168" s="55"/>
    </row>
    <row r="169" spans="2:9" ht="12.75">
      <c r="B169" t="s">
        <v>10</v>
      </c>
      <c r="E169" s="40">
        <v>8000</v>
      </c>
      <c r="H169" s="40"/>
      <c r="I169" s="55"/>
    </row>
    <row r="170" spans="2:9" ht="12.75">
      <c r="B170" t="s">
        <v>11</v>
      </c>
      <c r="E170" s="40">
        <v>12300</v>
      </c>
      <c r="H170" s="40"/>
      <c r="I170" s="55"/>
    </row>
    <row r="171" spans="2:9" ht="12.75">
      <c r="B171" t="s">
        <v>12</v>
      </c>
      <c r="E171" s="40">
        <v>11000</v>
      </c>
      <c r="H171" s="40"/>
      <c r="I171" s="55"/>
    </row>
    <row r="172" spans="5:9" ht="12.75">
      <c r="E172" s="40"/>
      <c r="H172" s="40"/>
      <c r="I172" s="55"/>
    </row>
    <row r="173" spans="2:9" ht="12.75">
      <c r="B173" t="s">
        <v>339</v>
      </c>
      <c r="E173" s="40"/>
      <c r="H173" s="40">
        <v>4926</v>
      </c>
      <c r="I173" s="55">
        <f>H173/H$210</f>
        <v>0.0001773665453569752</v>
      </c>
    </row>
    <row r="174" spans="2:9" ht="12.75">
      <c r="B174" t="s">
        <v>338</v>
      </c>
      <c r="E174" s="40"/>
      <c r="H174" s="40"/>
      <c r="I174" s="55"/>
    </row>
    <row r="175" spans="2:9" ht="12.75">
      <c r="B175" t="s">
        <v>312</v>
      </c>
      <c r="E175" s="40"/>
      <c r="H175" s="40">
        <f>SUM(E177:E179)</f>
        <v>218660</v>
      </c>
      <c r="I175" s="55">
        <f>H175/H$210</f>
        <v>0.007873115876523791</v>
      </c>
    </row>
    <row r="176" spans="2:9" ht="12.75">
      <c r="B176" t="s">
        <v>13</v>
      </c>
      <c r="E176" s="40"/>
      <c r="H176" s="40"/>
      <c r="I176" s="55"/>
    </row>
    <row r="177" spans="2:9" ht="12.75">
      <c r="B177" t="s">
        <v>110</v>
      </c>
      <c r="E177" s="40">
        <v>101700</v>
      </c>
      <c r="H177" s="40"/>
      <c r="I177" s="55"/>
    </row>
    <row r="178" spans="2:9" ht="12.75">
      <c r="B178" t="s">
        <v>11</v>
      </c>
      <c r="E178" s="40">
        <v>31860</v>
      </c>
      <c r="H178" s="40"/>
      <c r="I178" s="55"/>
    </row>
    <row r="179" spans="2:9" ht="12.75">
      <c r="B179" t="s">
        <v>12</v>
      </c>
      <c r="E179" s="40">
        <v>85100</v>
      </c>
      <c r="H179" s="40"/>
      <c r="I179" s="55"/>
    </row>
    <row r="180" spans="2:9" ht="12.75">
      <c r="B180" t="s">
        <v>313</v>
      </c>
      <c r="E180" s="36"/>
      <c r="H180" s="40"/>
      <c r="I180" s="55"/>
    </row>
    <row r="181" spans="2:9" ht="12.75">
      <c r="B181" t="s">
        <v>133</v>
      </c>
      <c r="E181" s="36"/>
      <c r="H181" s="40">
        <f>100+600+600</f>
        <v>1300</v>
      </c>
      <c r="I181" s="55">
        <f>H181/H$210</f>
        <v>4.680806109704989E-05</v>
      </c>
    </row>
    <row r="182" spans="5:9" ht="12.75">
      <c r="E182" s="36"/>
      <c r="H182" s="40"/>
      <c r="I182" s="55"/>
    </row>
    <row r="183" spans="2:9" ht="12.75">
      <c r="B183" t="s">
        <v>314</v>
      </c>
      <c r="E183" s="36"/>
      <c r="H183" s="40">
        <f>SUM(E185:E188)</f>
        <v>273500</v>
      </c>
      <c r="I183" s="55">
        <f>H183/H$210</f>
        <v>0.00984769593080242</v>
      </c>
    </row>
    <row r="184" spans="2:9" ht="12.75">
      <c r="B184" t="s">
        <v>175</v>
      </c>
      <c r="E184" s="36"/>
      <c r="H184" s="40"/>
      <c r="I184" s="55"/>
    </row>
    <row r="185" spans="2:9" ht="12.75">
      <c r="B185" t="s">
        <v>176</v>
      </c>
      <c r="E185" s="40">
        <v>148000</v>
      </c>
      <c r="H185" s="40"/>
      <c r="I185" s="55"/>
    </row>
    <row r="186" spans="2:9" ht="12.75">
      <c r="B186" t="s">
        <v>177</v>
      </c>
      <c r="E186" s="40">
        <v>123680</v>
      </c>
      <c r="H186" s="40"/>
      <c r="I186" s="55"/>
    </row>
    <row r="187" spans="2:9" ht="12.75">
      <c r="B187" t="s">
        <v>178</v>
      </c>
      <c r="E187" s="40">
        <f>140+600</f>
        <v>740</v>
      </c>
      <c r="H187" s="40"/>
      <c r="I187" s="55"/>
    </row>
    <row r="188" spans="2:9" ht="12.75">
      <c r="B188" t="s">
        <v>240</v>
      </c>
      <c r="E188" s="40">
        <v>1080</v>
      </c>
      <c r="H188" s="40"/>
      <c r="I188" s="55"/>
    </row>
    <row r="189" spans="5:9" ht="12.75">
      <c r="E189" s="40"/>
      <c r="H189" s="40"/>
      <c r="I189" s="55"/>
    </row>
    <row r="190" spans="1:9" s="3" customFormat="1" ht="12.75">
      <c r="A190" s="3" t="s">
        <v>164</v>
      </c>
      <c r="B190" s="3" t="s">
        <v>165</v>
      </c>
      <c r="D190" s="8"/>
      <c r="E190" s="8"/>
      <c r="H190" s="40"/>
      <c r="I190" s="55"/>
    </row>
    <row r="191" spans="2:9" ht="12.75">
      <c r="B191" t="s">
        <v>14</v>
      </c>
      <c r="H191" s="39">
        <f>SUM(H195:H204)</f>
        <v>1723000</v>
      </c>
      <c r="I191" s="54">
        <f>H191/H$210</f>
        <v>0.06203868405401305</v>
      </c>
    </row>
    <row r="192" spans="2:9" ht="12.75">
      <c r="B192" t="s">
        <v>15</v>
      </c>
      <c r="H192" s="40"/>
      <c r="I192" s="55"/>
    </row>
    <row r="193" spans="2:9" ht="12.75">
      <c r="B193" t="s">
        <v>194</v>
      </c>
      <c r="H193" s="40"/>
      <c r="I193" s="55"/>
    </row>
    <row r="194" spans="2:9" ht="12.75">
      <c r="B194" t="s">
        <v>196</v>
      </c>
      <c r="H194" s="40"/>
      <c r="I194" s="55"/>
    </row>
    <row r="195" spans="2:9" ht="12.75">
      <c r="B195" t="s">
        <v>195</v>
      </c>
      <c r="H195" s="40">
        <v>1273000</v>
      </c>
      <c r="I195" s="55">
        <f>H195/H$210</f>
        <v>0.04583589367426501</v>
      </c>
    </row>
    <row r="196" spans="2:9" ht="12.75">
      <c r="B196" t="s">
        <v>197</v>
      </c>
      <c r="H196" s="40"/>
      <c r="I196" s="55"/>
    </row>
    <row r="197" spans="2:9" ht="12.75">
      <c r="B197" t="s">
        <v>198</v>
      </c>
      <c r="H197" s="40"/>
      <c r="I197" s="55"/>
    </row>
    <row r="198" spans="2:9" ht="12.75">
      <c r="B198" t="s">
        <v>111</v>
      </c>
      <c r="H198" s="40">
        <v>12000</v>
      </c>
      <c r="I198" s="55">
        <f>H198/H$210</f>
        <v>0.0004320744101266144</v>
      </c>
    </row>
    <row r="199" spans="2:9" ht="12.75">
      <c r="B199" t="s">
        <v>199</v>
      </c>
      <c r="H199" s="40"/>
      <c r="I199" s="55"/>
    </row>
    <row r="200" spans="2:9" ht="12.75">
      <c r="B200" t="s">
        <v>134</v>
      </c>
      <c r="H200" s="40">
        <v>117000</v>
      </c>
      <c r="I200" s="55">
        <f>H200/H$210</f>
        <v>0.00421272549873449</v>
      </c>
    </row>
    <row r="201" spans="2:9" ht="12.75">
      <c r="B201" t="s">
        <v>200</v>
      </c>
      <c r="H201" s="40">
        <v>137000</v>
      </c>
      <c r="I201" s="55">
        <f>H201/H$210</f>
        <v>0.004932849515612181</v>
      </c>
    </row>
    <row r="202" spans="2:9" ht="12.75">
      <c r="B202" t="s">
        <v>201</v>
      </c>
      <c r="H202" s="40">
        <v>104000</v>
      </c>
      <c r="I202" s="55">
        <f>H202/H$210</f>
        <v>0.0037446448877639913</v>
      </c>
    </row>
    <row r="203" spans="2:9" ht="12.75">
      <c r="B203" t="s">
        <v>202</v>
      </c>
      <c r="H203" s="40">
        <v>10000</v>
      </c>
      <c r="I203" s="55">
        <f>H203/H$210</f>
        <v>0.0003600620084388453</v>
      </c>
    </row>
    <row r="204" spans="2:9" ht="12.75">
      <c r="B204" t="s">
        <v>241</v>
      </c>
      <c r="H204" s="40">
        <v>70000</v>
      </c>
      <c r="I204" s="55">
        <f>H204/H$210</f>
        <v>0.0025204340590719173</v>
      </c>
    </row>
    <row r="205" spans="8:9" ht="12.75">
      <c r="H205" s="40"/>
      <c r="I205" s="55"/>
    </row>
    <row r="206" spans="1:9" s="3" customFormat="1" ht="12.75">
      <c r="A206" s="3" t="s">
        <v>52</v>
      </c>
      <c r="B206" s="3" t="s">
        <v>53</v>
      </c>
      <c r="D206" s="8"/>
      <c r="E206" s="8"/>
      <c r="H206" s="41">
        <f>H208</f>
        <v>62500</v>
      </c>
      <c r="I206" s="54">
        <f>H206/H$210</f>
        <v>0.0022503875527427834</v>
      </c>
    </row>
    <row r="207" spans="2:9" ht="12.75">
      <c r="B207" t="s">
        <v>242</v>
      </c>
      <c r="H207" s="40"/>
      <c r="I207" s="55"/>
    </row>
    <row r="208" spans="2:9" ht="12.75">
      <c r="B208" t="s">
        <v>243</v>
      </c>
      <c r="H208" s="40">
        <v>62500</v>
      </c>
      <c r="I208" s="55">
        <f>H208/H$210</f>
        <v>0.0022503875527427834</v>
      </c>
    </row>
    <row r="209" spans="8:9" ht="12.75">
      <c r="H209" s="40"/>
      <c r="I209" s="55"/>
    </row>
    <row r="210" spans="2:9" s="1" customFormat="1" ht="15">
      <c r="B210" s="1" t="s">
        <v>20</v>
      </c>
      <c r="D210" s="11"/>
      <c r="E210" s="11"/>
      <c r="H210" s="39">
        <f>H206+H191+H164+H154+H123+H113+H110+H101+H96+H77+H70+H64</f>
        <v>27772994</v>
      </c>
      <c r="I210" s="54">
        <f>H210/H$210</f>
        <v>1</v>
      </c>
    </row>
    <row r="211" spans="4:9" s="1" customFormat="1" ht="15">
      <c r="D211" s="11"/>
      <c r="E211" s="11"/>
      <c r="H211" s="39"/>
      <c r="I211" s="54"/>
    </row>
    <row r="212" spans="4:9" s="1" customFormat="1" ht="15">
      <c r="D212" s="11"/>
      <c r="E212" s="11"/>
      <c r="H212" s="39"/>
      <c r="I212" s="54"/>
    </row>
    <row r="213" spans="4:9" s="1" customFormat="1" ht="15">
      <c r="D213" s="11"/>
      <c r="E213" s="11"/>
      <c r="H213" s="39"/>
      <c r="I213" s="54"/>
    </row>
    <row r="214" spans="1:9" ht="14.25">
      <c r="A214" s="2" t="s">
        <v>21</v>
      </c>
      <c r="H214" s="40"/>
      <c r="I214" s="56" t="s">
        <v>22</v>
      </c>
    </row>
    <row r="215" spans="8:9" ht="12.75">
      <c r="H215" s="40"/>
      <c r="I215" s="55"/>
    </row>
    <row r="216" spans="1:9" s="10" customFormat="1" ht="15">
      <c r="A216" s="5" t="s">
        <v>57</v>
      </c>
      <c r="B216" s="5"/>
      <c r="C216" s="5"/>
      <c r="D216" s="12"/>
      <c r="E216" s="12"/>
      <c r="F216" s="5"/>
      <c r="G216" s="5"/>
      <c r="H216" s="43">
        <f>H218+H221+H228+H231+H251+H262+H277+H280+H288+H294+H298+H313+H318+H332+H341+H357+H369</f>
        <v>21295882.34</v>
      </c>
      <c r="I216" s="57">
        <f>H216/H$448</f>
        <v>0.6438543202933427</v>
      </c>
    </row>
    <row r="217" spans="1:9" ht="12.75">
      <c r="A217" s="3" t="s">
        <v>15</v>
      </c>
      <c r="H217" s="40"/>
      <c r="I217" s="58"/>
    </row>
    <row r="218" spans="1:9" s="18" customFormat="1" ht="12.75">
      <c r="A218" s="18" t="s">
        <v>103</v>
      </c>
      <c r="B218" s="18" t="s">
        <v>32</v>
      </c>
      <c r="D218" s="19"/>
      <c r="E218" s="19"/>
      <c r="H218" s="41">
        <f>SUM(H219)</f>
        <v>100</v>
      </c>
      <c r="I218" s="58">
        <f>H218/H$448</f>
        <v>3.023374706968552E-06</v>
      </c>
    </row>
    <row r="219" spans="1:9" ht="12.75">
      <c r="A219" s="3"/>
      <c r="B219" t="s">
        <v>135</v>
      </c>
      <c r="H219" s="40">
        <v>100</v>
      </c>
      <c r="I219" s="59">
        <f>H219/H$448</f>
        <v>3.023374706968552E-06</v>
      </c>
    </row>
    <row r="220" spans="1:9" ht="12.75">
      <c r="A220" s="3"/>
      <c r="H220" s="40"/>
      <c r="I220" s="58"/>
    </row>
    <row r="221" spans="1:9" s="3" customFormat="1" ht="12.75">
      <c r="A221" s="3" t="s">
        <v>55</v>
      </c>
      <c r="B221" s="3" t="s">
        <v>56</v>
      </c>
      <c r="D221" s="8"/>
      <c r="E221" s="8"/>
      <c r="H221" s="39">
        <f>SUM(H222:H226)</f>
        <v>427650</v>
      </c>
      <c r="I221" s="58">
        <f>H221/H$448</f>
        <v>0.012929461934351013</v>
      </c>
    </row>
    <row r="222" spans="2:9" ht="12.75">
      <c r="B222" t="s">
        <v>221</v>
      </c>
      <c r="H222" s="42">
        <f>270000+7650+30000-50000</f>
        <v>257650</v>
      </c>
      <c r="I222" s="59">
        <f>H222/H$448</f>
        <v>0.007789724932504475</v>
      </c>
    </row>
    <row r="223" spans="2:9" ht="12.75">
      <c r="B223" t="s">
        <v>222</v>
      </c>
      <c r="H223" s="42"/>
      <c r="I223" s="59"/>
    </row>
    <row r="224" spans="2:9" ht="12.75">
      <c r="B224" t="s">
        <v>415</v>
      </c>
      <c r="H224" s="42"/>
      <c r="I224" s="59"/>
    </row>
    <row r="225" spans="2:9" ht="12.75">
      <c r="B225" t="s">
        <v>416</v>
      </c>
      <c r="H225" s="42">
        <v>120000</v>
      </c>
      <c r="I225" s="59">
        <f>H225/H$448</f>
        <v>0.0036280496483622627</v>
      </c>
    </row>
    <row r="226" spans="2:9" ht="12.75">
      <c r="B226" t="s">
        <v>417</v>
      </c>
      <c r="H226" s="42">
        <v>50000</v>
      </c>
      <c r="I226" s="59">
        <f>H226/H$448</f>
        <v>0.0015116873534842762</v>
      </c>
    </row>
    <row r="227" spans="8:9" ht="12.75">
      <c r="H227" s="42"/>
      <c r="I227" s="59"/>
    </row>
    <row r="228" spans="1:9" s="3" customFormat="1" ht="12.75">
      <c r="A228" s="3" t="s">
        <v>33</v>
      </c>
      <c r="B228" s="3" t="s">
        <v>58</v>
      </c>
      <c r="D228" s="8"/>
      <c r="E228" s="8"/>
      <c r="H228" s="39">
        <f>SUM(H229:H229)</f>
        <v>260700</v>
      </c>
      <c r="I228" s="58">
        <f>H228/H$448</f>
        <v>0.007881937861067015</v>
      </c>
    </row>
    <row r="229" spans="2:9" ht="12.75">
      <c r="B229" t="s">
        <v>112</v>
      </c>
      <c r="H229" s="40">
        <v>260700</v>
      </c>
      <c r="I229" s="59">
        <f>H229/H$448</f>
        <v>0.007881937861067015</v>
      </c>
    </row>
    <row r="230" spans="8:9" ht="12.75">
      <c r="H230" s="40"/>
      <c r="I230" s="59"/>
    </row>
    <row r="231" spans="1:9" s="3" customFormat="1" ht="14.25" customHeight="1">
      <c r="A231" s="3" t="s">
        <v>35</v>
      </c>
      <c r="B231" s="3" t="s">
        <v>25</v>
      </c>
      <c r="D231" s="8"/>
      <c r="E231" s="8"/>
      <c r="H231" s="39">
        <f>SUM(H235:H244)</f>
        <v>1444896</v>
      </c>
      <c r="I231" s="58">
        <f>H231/H$448</f>
        <v>0.043684620206000335</v>
      </c>
    </row>
    <row r="232" spans="1:9" s="47" customFormat="1" ht="14.25" customHeight="1">
      <c r="A232" s="6"/>
      <c r="B232" s="6" t="s">
        <v>316</v>
      </c>
      <c r="C232" s="6"/>
      <c r="D232" s="9"/>
      <c r="E232" s="9"/>
      <c r="F232" s="6"/>
      <c r="G232" s="6"/>
      <c r="H232" s="42"/>
      <c r="I232" s="59"/>
    </row>
    <row r="233" spans="1:9" s="47" customFormat="1" ht="14.25" customHeight="1">
      <c r="A233" s="6"/>
      <c r="B233" s="6" t="s">
        <v>315</v>
      </c>
      <c r="C233" s="6"/>
      <c r="D233" s="9"/>
      <c r="E233" s="9"/>
      <c r="F233" s="6"/>
      <c r="G233" s="6"/>
      <c r="H233" s="42"/>
      <c r="I233" s="59"/>
    </row>
    <row r="234" spans="2:9" s="47" customFormat="1" ht="14.25" customHeight="1">
      <c r="B234" s="6" t="s">
        <v>328</v>
      </c>
      <c r="D234" s="48"/>
      <c r="E234" s="48"/>
      <c r="H234" s="49"/>
      <c r="I234" s="59"/>
    </row>
    <row r="235" spans="2:9" s="47" customFormat="1" ht="14.25" customHeight="1">
      <c r="B235" s="6" t="s">
        <v>329</v>
      </c>
      <c r="D235" s="48"/>
      <c r="E235" s="48"/>
      <c r="H235" s="49">
        <v>8000</v>
      </c>
      <c r="I235" s="59">
        <f>H235/H$448</f>
        <v>0.00024186997655748418</v>
      </c>
    </row>
    <row r="236" spans="2:9" ht="12.75">
      <c r="B236" t="s">
        <v>317</v>
      </c>
      <c r="H236" s="40"/>
      <c r="I236" s="59"/>
    </row>
    <row r="237" spans="2:9" ht="12.75">
      <c r="B237" t="s">
        <v>116</v>
      </c>
      <c r="H237" s="40">
        <f>55500+15000</f>
        <v>70500</v>
      </c>
      <c r="I237" s="59">
        <f>H237/H$448</f>
        <v>0.002131479168412829</v>
      </c>
    </row>
    <row r="238" spans="2:9" ht="12.75">
      <c r="B238" t="s">
        <v>405</v>
      </c>
      <c r="H238" s="40">
        <f>SUM(E240:E243)</f>
        <v>440000</v>
      </c>
      <c r="I238" s="59">
        <f>H238/H$448</f>
        <v>0.01330284871066163</v>
      </c>
    </row>
    <row r="239" spans="2:9" ht="12.75">
      <c r="B239" t="s">
        <v>318</v>
      </c>
      <c r="H239" s="40"/>
      <c r="I239" s="59"/>
    </row>
    <row r="240" spans="2:9" ht="12.75">
      <c r="B240" t="s">
        <v>319</v>
      </c>
      <c r="E240" s="36">
        <v>347000</v>
      </c>
      <c r="H240" s="40"/>
      <c r="I240" s="59"/>
    </row>
    <row r="241" spans="2:9" ht="12.75">
      <c r="B241" t="s">
        <v>321</v>
      </c>
      <c r="E241" s="36"/>
      <c r="H241" s="40"/>
      <c r="I241" s="59"/>
    </row>
    <row r="242" spans="2:9" ht="12.75">
      <c r="B242" t="s">
        <v>320</v>
      </c>
      <c r="E242" s="36">
        <v>85000</v>
      </c>
      <c r="H242" s="40"/>
      <c r="I242" s="59"/>
    </row>
    <row r="243" spans="2:9" ht="12.75">
      <c r="B243" t="s">
        <v>322</v>
      </c>
      <c r="E243" s="36">
        <v>8000</v>
      </c>
      <c r="H243" s="40"/>
      <c r="I243" s="59"/>
    </row>
    <row r="244" spans="2:9" ht="12.75">
      <c r="B244" t="s">
        <v>323</v>
      </c>
      <c r="H244" s="40">
        <f>SUM(F246:F249)</f>
        <v>926396</v>
      </c>
      <c r="I244" s="59">
        <f>H244/H$448</f>
        <v>0.02800842235036839</v>
      </c>
    </row>
    <row r="245" spans="2:9" ht="12.75">
      <c r="B245" t="s">
        <v>19</v>
      </c>
      <c r="H245" s="40"/>
      <c r="I245" s="59"/>
    </row>
    <row r="246" spans="2:9" ht="12.75">
      <c r="B246" t="s">
        <v>324</v>
      </c>
      <c r="F246" s="36">
        <f>6396+4000</f>
        <v>10396</v>
      </c>
      <c r="H246" s="40"/>
      <c r="I246" s="59"/>
    </row>
    <row r="247" spans="2:9" ht="15" customHeight="1">
      <c r="B247" s="50" t="s">
        <v>326</v>
      </c>
      <c r="F247" s="36"/>
      <c r="H247" s="40"/>
      <c r="I247" s="59"/>
    </row>
    <row r="248" spans="2:9" ht="15" customHeight="1">
      <c r="B248" t="s">
        <v>325</v>
      </c>
      <c r="F248" s="36">
        <v>766000</v>
      </c>
      <c r="H248" s="40"/>
      <c r="I248" s="59"/>
    </row>
    <row r="249" spans="2:9" ht="15" customHeight="1">
      <c r="B249" t="s">
        <v>327</v>
      </c>
      <c r="F249" s="36">
        <v>150000</v>
      </c>
      <c r="H249" s="40"/>
      <c r="I249" s="59"/>
    </row>
    <row r="250" spans="6:9" ht="15" customHeight="1">
      <c r="F250" s="4"/>
      <c r="H250" s="40"/>
      <c r="I250" s="59"/>
    </row>
    <row r="251" spans="1:9" s="18" customFormat="1" ht="12.75">
      <c r="A251" s="18" t="s">
        <v>59</v>
      </c>
      <c r="B251" s="18" t="s">
        <v>60</v>
      </c>
      <c r="D251" s="19"/>
      <c r="E251" s="19"/>
      <c r="H251" s="41">
        <f>SUM(H252:H260)</f>
        <v>465000</v>
      </c>
      <c r="I251" s="58">
        <f>H251/H$448</f>
        <v>0.014058692387403768</v>
      </c>
    </row>
    <row r="252" spans="2:9" ht="12.75">
      <c r="B252" t="s">
        <v>61</v>
      </c>
      <c r="H252" s="40">
        <v>325000</v>
      </c>
      <c r="I252" s="59">
        <f>H252/H$448</f>
        <v>0.009825967797647795</v>
      </c>
    </row>
    <row r="253" spans="2:9" ht="12.75">
      <c r="B253" t="s">
        <v>136</v>
      </c>
      <c r="H253" s="40"/>
      <c r="I253" s="59"/>
    </row>
    <row r="254" spans="2:9" ht="12.75">
      <c r="B254" t="s">
        <v>62</v>
      </c>
      <c r="H254" s="40"/>
      <c r="I254" s="59"/>
    </row>
    <row r="255" spans="2:9" ht="12.75">
      <c r="B255" t="s">
        <v>63</v>
      </c>
      <c r="H255" s="40">
        <v>40000</v>
      </c>
      <c r="I255" s="59">
        <f>H255/H$448</f>
        <v>0.0012093498827874208</v>
      </c>
    </row>
    <row r="256" spans="2:9" ht="12.75">
      <c r="B256" t="s">
        <v>418</v>
      </c>
      <c r="H256" s="40"/>
      <c r="I256" s="59"/>
    </row>
    <row r="257" spans="2:9" ht="12.75">
      <c r="B257" t="s">
        <v>419</v>
      </c>
      <c r="H257" s="40">
        <v>50000</v>
      </c>
      <c r="I257" s="59">
        <f>H257/H$448</f>
        <v>0.0015116873534842762</v>
      </c>
    </row>
    <row r="258" spans="2:9" ht="12.75">
      <c r="B258" t="s">
        <v>420</v>
      </c>
      <c r="H258" s="40"/>
      <c r="I258" s="59"/>
    </row>
    <row r="259" spans="2:9" ht="12.75">
      <c r="B259" t="s">
        <v>330</v>
      </c>
      <c r="H259" s="40"/>
      <c r="I259" s="59"/>
    </row>
    <row r="260" spans="2:9" ht="12.75">
      <c r="B260" t="s">
        <v>331</v>
      </c>
      <c r="H260" s="40">
        <v>50000</v>
      </c>
      <c r="I260" s="59">
        <f>H260/H$448</f>
        <v>0.0015116873534842762</v>
      </c>
    </row>
    <row r="261" spans="8:9" ht="12.75">
      <c r="H261" s="40"/>
      <c r="I261" s="59"/>
    </row>
    <row r="262" spans="1:9" s="3" customFormat="1" ht="12.75">
      <c r="A262" s="3" t="s">
        <v>40</v>
      </c>
      <c r="B262" s="3" t="s">
        <v>64</v>
      </c>
      <c r="D262" s="8"/>
      <c r="E262" s="8"/>
      <c r="H262" s="39">
        <f>SUM(H263:H275)</f>
        <v>3836559</v>
      </c>
      <c r="I262" s="58">
        <f aca="true" t="shared" si="1" ref="I262:I268">H262/H$448</f>
        <v>0.11599355442392562</v>
      </c>
    </row>
    <row r="263" spans="2:9" ht="12.75">
      <c r="B263" t="s">
        <v>29</v>
      </c>
      <c r="H263" s="40">
        <v>170857</v>
      </c>
      <c r="I263" s="59">
        <f t="shared" si="1"/>
        <v>0.00516564732308526</v>
      </c>
    </row>
    <row r="264" spans="2:9" ht="12.75">
      <c r="B264" t="s">
        <v>137</v>
      </c>
      <c r="H264" s="40">
        <v>120000</v>
      </c>
      <c r="I264" s="59">
        <f t="shared" si="1"/>
        <v>0.0036280496483622627</v>
      </c>
    </row>
    <row r="265" spans="2:9" ht="12.75">
      <c r="B265" t="s">
        <v>138</v>
      </c>
      <c r="H265" s="40">
        <f>3335070-99000-4500+23000-14000</f>
        <v>3240570</v>
      </c>
      <c r="I265" s="59">
        <f t="shared" si="1"/>
        <v>0.09797457374161081</v>
      </c>
    </row>
    <row r="266" spans="2:9" ht="12.75">
      <c r="B266" t="s">
        <v>139</v>
      </c>
      <c r="H266" s="40">
        <v>600</v>
      </c>
      <c r="I266" s="59">
        <f t="shared" si="1"/>
        <v>1.8140248241811312E-05</v>
      </c>
    </row>
    <row r="267" spans="2:9" ht="12.75">
      <c r="B267" t="s">
        <v>276</v>
      </c>
      <c r="H267" s="40">
        <f>74500+7150+1920</f>
        <v>83570</v>
      </c>
      <c r="I267" s="59">
        <f t="shared" si="1"/>
        <v>0.002526634242613619</v>
      </c>
    </row>
    <row r="268" spans="2:9" ht="12.75">
      <c r="B268" t="s">
        <v>166</v>
      </c>
      <c r="H268" s="40">
        <f>65000+10000+6500+200</f>
        <v>81700</v>
      </c>
      <c r="I268" s="59">
        <f t="shared" si="1"/>
        <v>0.002470097135593307</v>
      </c>
    </row>
    <row r="269" spans="2:9" ht="12.75">
      <c r="B269" t="s">
        <v>277</v>
      </c>
      <c r="H269" s="40"/>
      <c r="I269" s="59"/>
    </row>
    <row r="270" spans="2:9" ht="12.75">
      <c r="B270" t="s">
        <v>278</v>
      </c>
      <c r="H270" s="40">
        <v>127830</v>
      </c>
      <c r="I270" s="59">
        <f aca="true" t="shared" si="2" ref="I270:I275">H270/H$448</f>
        <v>0.0038647798879179003</v>
      </c>
    </row>
    <row r="271" spans="2:9" ht="12.75">
      <c r="B271" t="s">
        <v>28</v>
      </c>
      <c r="H271" s="40">
        <v>3100</v>
      </c>
      <c r="I271" s="59">
        <f t="shared" si="2"/>
        <v>9.372461591602512E-05</v>
      </c>
    </row>
    <row r="272" spans="2:9" ht="12.75">
      <c r="B272" t="s">
        <v>113</v>
      </c>
      <c r="H272" s="40">
        <v>4000</v>
      </c>
      <c r="I272" s="59">
        <f t="shared" si="2"/>
        <v>0.00012093498827874209</v>
      </c>
    </row>
    <row r="273" spans="2:9" ht="12.75">
      <c r="B273" t="s">
        <v>244</v>
      </c>
      <c r="H273" s="40">
        <v>1100</v>
      </c>
      <c r="I273" s="59">
        <f t="shared" si="2"/>
        <v>3.325712177665407E-05</v>
      </c>
    </row>
    <row r="274" spans="2:9" ht="12.75">
      <c r="B274" t="s">
        <v>203</v>
      </c>
      <c r="H274" s="40">
        <v>732</v>
      </c>
      <c r="I274" s="59">
        <f t="shared" si="2"/>
        <v>2.2131102855009803E-05</v>
      </c>
    </row>
    <row r="275" spans="2:9" ht="12.75">
      <c r="B275" t="s">
        <v>332</v>
      </c>
      <c r="H275" s="40">
        <v>2500</v>
      </c>
      <c r="I275" s="59">
        <f t="shared" si="2"/>
        <v>7.55843676742138E-05</v>
      </c>
    </row>
    <row r="276" spans="8:9" ht="12.75">
      <c r="H276" s="40"/>
      <c r="I276" s="59"/>
    </row>
    <row r="277" spans="1:9" s="3" customFormat="1" ht="12.75">
      <c r="A277" s="3" t="s">
        <v>42</v>
      </c>
      <c r="B277" s="3" t="s">
        <v>65</v>
      </c>
      <c r="D277" s="8"/>
      <c r="E277" s="8"/>
      <c r="H277" s="39">
        <f>SUM(H278:H278)</f>
        <v>1104</v>
      </c>
      <c r="I277" s="58">
        <f>H277/H$448</f>
        <v>3.337805676493282E-05</v>
      </c>
    </row>
    <row r="278" spans="2:9" ht="12.75">
      <c r="B278" t="s">
        <v>104</v>
      </c>
      <c r="H278" s="40">
        <v>1104</v>
      </c>
      <c r="I278" s="59">
        <f>H278/H$448</f>
        <v>3.337805676493282E-05</v>
      </c>
    </row>
    <row r="279" spans="8:9" ht="12.75">
      <c r="H279" s="40"/>
      <c r="I279" s="59"/>
    </row>
    <row r="280" spans="1:9" s="18" customFormat="1" ht="12.75">
      <c r="A280" s="18" t="s">
        <v>44</v>
      </c>
      <c r="B280" s="21" t="s">
        <v>66</v>
      </c>
      <c r="D280" s="19"/>
      <c r="E280" s="19"/>
      <c r="H280" s="41">
        <f>SUM(H281:H286)</f>
        <v>546713</v>
      </c>
      <c r="I280" s="58">
        <f>H280/H$448</f>
        <v>0.01652918256170898</v>
      </c>
    </row>
    <row r="281" spans="2:9" ht="12.75">
      <c r="B281" t="s">
        <v>279</v>
      </c>
      <c r="H281" s="40"/>
      <c r="I281" s="59"/>
    </row>
    <row r="282" spans="2:9" ht="12.75">
      <c r="B282" t="s">
        <v>333</v>
      </c>
      <c r="H282" s="40">
        <f>100000-50000</f>
        <v>50000</v>
      </c>
      <c r="I282" s="59">
        <f>H282/H$448</f>
        <v>0.0015116873534842762</v>
      </c>
    </row>
    <row r="283" spans="2:9" ht="12.75">
      <c r="B283" t="s">
        <v>245</v>
      </c>
      <c r="H283" s="40">
        <f>126039-20000</f>
        <v>106039</v>
      </c>
      <c r="I283" s="59">
        <f>H283/H$448</f>
        <v>0.0032059563055223833</v>
      </c>
    </row>
    <row r="284" spans="2:9" ht="12.75">
      <c r="B284" t="s">
        <v>246</v>
      </c>
      <c r="H284" s="40">
        <v>3500</v>
      </c>
      <c r="I284" s="59">
        <f>H284/H$448</f>
        <v>0.00010581811474389933</v>
      </c>
    </row>
    <row r="285" spans="2:9" ht="12.75">
      <c r="B285" t="s">
        <v>247</v>
      </c>
      <c r="H285" s="40">
        <f>389174-5000</f>
        <v>384174</v>
      </c>
      <c r="I285" s="59">
        <f>H285/H$448</f>
        <v>0.011615019546749365</v>
      </c>
    </row>
    <row r="286" spans="2:9" ht="12.75">
      <c r="B286" t="s">
        <v>334</v>
      </c>
      <c r="H286" s="40">
        <v>3000</v>
      </c>
      <c r="I286" s="59">
        <f>H286/H$448</f>
        <v>9.070124120905656E-05</v>
      </c>
    </row>
    <row r="287" spans="8:9" ht="12.75">
      <c r="H287" s="40"/>
      <c r="I287" s="59"/>
    </row>
    <row r="288" spans="1:9" s="18" customFormat="1" ht="12.75">
      <c r="A288" s="18" t="s">
        <v>67</v>
      </c>
      <c r="B288" s="18" t="s">
        <v>68</v>
      </c>
      <c r="D288" s="19"/>
      <c r="E288" s="19"/>
      <c r="H288" s="41">
        <f>SUM(H289:H292)</f>
        <v>528968.3400000001</v>
      </c>
      <c r="I288" s="58">
        <f>H288/H$448</f>
        <v>0.015992694999431418</v>
      </c>
    </row>
    <row r="289" spans="2:9" ht="12.75">
      <c r="B289" t="s">
        <v>335</v>
      </c>
      <c r="H289" s="40">
        <v>2000</v>
      </c>
      <c r="I289" s="59">
        <f>H289/H$448</f>
        <v>6.0467494139371045E-05</v>
      </c>
    </row>
    <row r="290" spans="2:9" ht="12.75">
      <c r="B290" t="s">
        <v>167</v>
      </c>
      <c r="H290" s="40">
        <v>468.34</v>
      </c>
      <c r="I290" s="59">
        <f>H290/H$448</f>
        <v>1.4159673102616517E-05</v>
      </c>
    </row>
    <row r="291" spans="2:9" ht="12.75">
      <c r="B291" t="s">
        <v>168</v>
      </c>
      <c r="H291" s="40">
        <f>21500+230000+225000</f>
        <v>476500</v>
      </c>
      <c r="I291" s="59">
        <f>H291/H$448</f>
        <v>0.014406380478705152</v>
      </c>
    </row>
    <row r="292" spans="2:9" ht="12.75">
      <c r="B292" t="s">
        <v>169</v>
      </c>
      <c r="H292" s="40">
        <v>50000</v>
      </c>
      <c r="I292" s="59">
        <f>H292/H$448</f>
        <v>0.0015116873534842762</v>
      </c>
    </row>
    <row r="293" spans="8:9" ht="12.75">
      <c r="H293" s="40"/>
      <c r="I293" s="59"/>
    </row>
    <row r="294" spans="1:9" s="18" customFormat="1" ht="12.75">
      <c r="A294" s="18" t="s">
        <v>49</v>
      </c>
      <c r="B294" s="18" t="s">
        <v>69</v>
      </c>
      <c r="D294" s="19"/>
      <c r="E294" s="19"/>
      <c r="H294" s="41">
        <f>SUM(H295:H296)</f>
        <v>201202.44</v>
      </c>
      <c r="I294" s="58">
        <f>H294/H$448</f>
        <v>0.006083103680763577</v>
      </c>
    </row>
    <row r="295" spans="1:9" s="47" customFormat="1" ht="12.75">
      <c r="A295" s="6"/>
      <c r="B295" s="61" t="s">
        <v>381</v>
      </c>
      <c r="C295" s="6"/>
      <c r="D295" s="9"/>
      <c r="E295" s="9"/>
      <c r="F295" s="6"/>
      <c r="G295" s="6"/>
      <c r="H295" s="42">
        <v>11899</v>
      </c>
      <c r="I295" s="59">
        <f>H295/H$448</f>
        <v>0.00035975135638218803</v>
      </c>
    </row>
    <row r="296" spans="2:9" ht="12.75">
      <c r="B296" t="s">
        <v>382</v>
      </c>
      <c r="H296" s="40">
        <f>200000-10696.56</f>
        <v>189303.44</v>
      </c>
      <c r="I296" s="59">
        <f>H296/H$448</f>
        <v>0.005723352324381389</v>
      </c>
    </row>
    <row r="297" spans="8:9" ht="12.75">
      <c r="H297" s="40"/>
      <c r="I297" s="59"/>
    </row>
    <row r="298" spans="1:9" s="3" customFormat="1" ht="12.75">
      <c r="A298" s="3" t="s">
        <v>51</v>
      </c>
      <c r="B298" s="3" t="s">
        <v>4</v>
      </c>
      <c r="D298" s="8"/>
      <c r="E298" s="8"/>
      <c r="H298" s="39">
        <f>SUM(H299:H312)</f>
        <v>6586160.5600000005</v>
      </c>
      <c r="I298" s="58">
        <f aca="true" t="shared" si="3" ref="I298:I308">H298/H$448</f>
        <v>0.19912431253137838</v>
      </c>
    </row>
    <row r="299" spans="2:9" s="6" customFormat="1" ht="12.75">
      <c r="B299" s="17" t="s">
        <v>204</v>
      </c>
      <c r="D299" s="9"/>
      <c r="E299" s="9"/>
      <c r="F299" s="9"/>
      <c r="G299" s="22"/>
      <c r="H299" s="42">
        <f>8100+1319800+98300+234500+33200+10600+8000+75000+92400+20000+171500+20000+4000+89100+10000+2600+3200+72200+7000+3000+27000</f>
        <v>2309500</v>
      </c>
      <c r="I299" s="59">
        <f t="shared" si="3"/>
        <v>0.06982483885743872</v>
      </c>
    </row>
    <row r="300" spans="2:9" s="6" customFormat="1" ht="12.75">
      <c r="B300" s="17" t="s">
        <v>336</v>
      </c>
      <c r="D300" s="9"/>
      <c r="E300" s="9"/>
      <c r="F300" s="9"/>
      <c r="G300" s="22"/>
      <c r="H300" s="42">
        <f>4926+12696.56</f>
        <v>17622.559999999998</v>
      </c>
      <c r="I300" s="59">
        <f t="shared" si="3"/>
        <v>0.0005327960217603573</v>
      </c>
    </row>
    <row r="301" spans="2:9" s="6" customFormat="1" ht="12.75">
      <c r="B301" s="6" t="s">
        <v>337</v>
      </c>
      <c r="D301" s="9"/>
      <c r="E301" s="9"/>
      <c r="H301" s="42">
        <f>32376+436770+32800+87200+12055+14000+43825+27900+2500+11650+5500+1850+22250+1000+3500+3000+2000+2000+26100+3000+1600</f>
        <v>772876</v>
      </c>
      <c r="I301" s="59">
        <f t="shared" si="3"/>
        <v>0.023366937500230268</v>
      </c>
    </row>
    <row r="302" spans="2:9" s="6" customFormat="1" ht="12.75">
      <c r="B302" s="6" t="s">
        <v>248</v>
      </c>
      <c r="D302" s="9"/>
      <c r="E302" s="9"/>
      <c r="H302" s="42">
        <v>34845</v>
      </c>
      <c r="I302" s="59">
        <f t="shared" si="3"/>
        <v>0.001053494916643192</v>
      </c>
    </row>
    <row r="303" spans="2:9" s="6" customFormat="1" ht="12.75">
      <c r="B303" s="6" t="s">
        <v>179</v>
      </c>
      <c r="D303" s="9"/>
      <c r="E303" s="9"/>
      <c r="H303" s="42">
        <f>1328641-13500</f>
        <v>1315141</v>
      </c>
      <c r="I303" s="59">
        <f t="shared" si="3"/>
        <v>0.03976164035497329</v>
      </c>
    </row>
    <row r="304" spans="2:9" s="6" customFormat="1" ht="12.75">
      <c r="B304" s="6" t="s">
        <v>170</v>
      </c>
      <c r="D304" s="9"/>
      <c r="E304" s="9"/>
      <c r="H304" s="42">
        <f>1982795-27000</f>
        <v>1955795</v>
      </c>
      <c r="I304" s="59">
        <f t="shared" si="3"/>
        <v>0.059131011350155596</v>
      </c>
    </row>
    <row r="305" spans="2:9" s="6" customFormat="1" ht="12.75">
      <c r="B305" s="6" t="s">
        <v>114</v>
      </c>
      <c r="D305" s="9"/>
      <c r="E305" s="9"/>
      <c r="H305" s="42">
        <v>103360</v>
      </c>
      <c r="I305" s="59">
        <f t="shared" si="3"/>
        <v>0.0031249600971226957</v>
      </c>
    </row>
    <row r="306" spans="2:9" s="6" customFormat="1" ht="12.75">
      <c r="B306" s="6" t="s">
        <v>128</v>
      </c>
      <c r="D306" s="9"/>
      <c r="E306" s="9"/>
      <c r="H306" s="42">
        <f>14761+10000</f>
        <v>24761</v>
      </c>
      <c r="I306" s="59">
        <f t="shared" si="3"/>
        <v>0.0007486178111924832</v>
      </c>
    </row>
    <row r="307" spans="2:9" s="6" customFormat="1" ht="12.75">
      <c r="B307" s="6" t="s">
        <v>129</v>
      </c>
      <c r="D307" s="9"/>
      <c r="E307" s="9"/>
      <c r="H307" s="42">
        <v>1000</v>
      </c>
      <c r="I307" s="59">
        <f t="shared" si="3"/>
        <v>3.0233747069685523E-05</v>
      </c>
    </row>
    <row r="308" spans="2:9" s="6" customFormat="1" ht="12.75">
      <c r="B308" s="6" t="s">
        <v>406</v>
      </c>
      <c r="D308" s="9"/>
      <c r="E308" s="9"/>
      <c r="H308" s="42">
        <f>5600+5000</f>
        <v>10600</v>
      </c>
      <c r="I308" s="59">
        <f t="shared" si="3"/>
        <v>0.0003204777189386665</v>
      </c>
    </row>
    <row r="309" spans="2:9" s="6" customFormat="1" ht="12.75">
      <c r="B309" s="6" t="s">
        <v>130</v>
      </c>
      <c r="D309" s="9"/>
      <c r="E309" s="9"/>
      <c r="H309" s="42"/>
      <c r="I309" s="59"/>
    </row>
    <row r="310" spans="2:9" s="6" customFormat="1" ht="12.75">
      <c r="B310" s="6" t="s">
        <v>115</v>
      </c>
      <c r="D310" s="9"/>
      <c r="E310" s="9"/>
      <c r="H310" s="42">
        <v>1200</v>
      </c>
      <c r="I310" s="59">
        <f>H310/H$448</f>
        <v>3.6280496483622625E-05</v>
      </c>
    </row>
    <row r="311" spans="2:9" s="6" customFormat="1" ht="12.75">
      <c r="B311" s="6" t="s">
        <v>407</v>
      </c>
      <c r="D311" s="9"/>
      <c r="E311" s="9"/>
      <c r="H311" s="42"/>
      <c r="I311" s="59"/>
    </row>
    <row r="312" spans="2:9" s="6" customFormat="1" ht="12.75">
      <c r="B312" s="6" t="s">
        <v>205</v>
      </c>
      <c r="D312" s="9"/>
      <c r="E312" s="9"/>
      <c r="H312" s="42">
        <v>39460</v>
      </c>
      <c r="I312" s="59">
        <f>H312/H$448</f>
        <v>0.0011930236593697906</v>
      </c>
    </row>
    <row r="313" spans="1:9" s="18" customFormat="1" ht="12.75">
      <c r="A313" s="18" t="s">
        <v>70</v>
      </c>
      <c r="B313" s="18" t="s">
        <v>26</v>
      </c>
      <c r="D313" s="19"/>
      <c r="E313" s="19"/>
      <c r="H313" s="41">
        <f>SUM(H314:H316)</f>
        <v>270000</v>
      </c>
      <c r="I313" s="58">
        <f>H313/H$448</f>
        <v>0.00816311170881509</v>
      </c>
    </row>
    <row r="314" spans="2:9" s="17" customFormat="1" ht="12.75">
      <c r="B314" s="17" t="s">
        <v>280</v>
      </c>
      <c r="D314" s="22"/>
      <c r="E314" s="22"/>
      <c r="H314" s="38">
        <v>20000</v>
      </c>
      <c r="I314" s="59">
        <f>H314/H$448</f>
        <v>0.0006046749413937104</v>
      </c>
    </row>
    <row r="315" spans="2:9" ht="12.75">
      <c r="B315" t="s">
        <v>281</v>
      </c>
      <c r="H315" s="40"/>
      <c r="I315" s="59"/>
    </row>
    <row r="316" spans="2:9" ht="12.75">
      <c r="B316" t="s">
        <v>223</v>
      </c>
      <c r="H316" s="40">
        <v>250000</v>
      </c>
      <c r="I316" s="59">
        <f>H316/H$448</f>
        <v>0.007558436767421381</v>
      </c>
    </row>
    <row r="317" spans="8:9" ht="12.75">
      <c r="H317" s="40"/>
      <c r="I317" s="59"/>
    </row>
    <row r="318" spans="1:9" s="3" customFormat="1" ht="12.75">
      <c r="A318" s="3" t="s">
        <v>164</v>
      </c>
      <c r="B318" s="3" t="s">
        <v>171</v>
      </c>
      <c r="D318" s="8"/>
      <c r="E318" s="8"/>
      <c r="H318" s="39">
        <f>SUM(H321:H330)</f>
        <v>2960341</v>
      </c>
      <c r="I318" s="58">
        <f>H318/H$448</f>
        <v>0.08950220103401992</v>
      </c>
    </row>
    <row r="319" spans="2:9" s="17" customFormat="1" ht="12.75">
      <c r="B319" s="17" t="s">
        <v>283</v>
      </c>
      <c r="D319" s="22"/>
      <c r="E319" s="22"/>
      <c r="H319" s="38"/>
      <c r="I319" s="59"/>
    </row>
    <row r="320" spans="2:9" s="17" customFormat="1" ht="12.75">
      <c r="B320" s="17" t="s">
        <v>282</v>
      </c>
      <c r="D320" s="22"/>
      <c r="E320" s="22"/>
      <c r="H320" s="38"/>
      <c r="I320" s="59"/>
    </row>
    <row r="321" spans="2:9" s="17" customFormat="1" ht="12.75">
      <c r="B321" s="17" t="s">
        <v>284</v>
      </c>
      <c r="D321" s="22"/>
      <c r="E321" s="22"/>
      <c r="H321" s="38">
        <v>1350051</v>
      </c>
      <c r="I321" s="59">
        <f aca="true" t="shared" si="4" ref="I321:I330">H321/H$448</f>
        <v>0.04081710046517601</v>
      </c>
    </row>
    <row r="322" spans="2:9" s="17" customFormat="1" ht="12.75">
      <c r="B322" s="17" t="s">
        <v>206</v>
      </c>
      <c r="D322" s="22"/>
      <c r="E322" s="22"/>
      <c r="H322" s="38">
        <v>12000</v>
      </c>
      <c r="I322" s="59">
        <f t="shared" si="4"/>
        <v>0.00036280496483622626</v>
      </c>
    </row>
    <row r="323" spans="2:9" ht="12.75">
      <c r="B323" t="s">
        <v>207</v>
      </c>
      <c r="H323" s="40">
        <f>116000+1000</f>
        <v>117000</v>
      </c>
      <c r="I323" s="59">
        <f t="shared" si="4"/>
        <v>0.003537348407153206</v>
      </c>
    </row>
    <row r="324" spans="2:9" ht="12.75">
      <c r="B324" t="s">
        <v>208</v>
      </c>
      <c r="H324" s="40">
        <f>145000+1500+15000</f>
        <v>161500</v>
      </c>
      <c r="I324" s="59">
        <f t="shared" si="4"/>
        <v>0.0048827501517542116</v>
      </c>
    </row>
    <row r="325" spans="2:9" ht="12.75">
      <c r="B325" t="s">
        <v>249</v>
      </c>
      <c r="H325" s="40">
        <v>137000</v>
      </c>
      <c r="I325" s="59">
        <f t="shared" si="4"/>
        <v>0.004142023348546917</v>
      </c>
    </row>
    <row r="326" spans="2:9" ht="12.75">
      <c r="B326" t="s">
        <v>209</v>
      </c>
      <c r="H326" s="40">
        <v>200000</v>
      </c>
      <c r="I326" s="59">
        <f t="shared" si="4"/>
        <v>0.006046749413937105</v>
      </c>
    </row>
    <row r="327" spans="2:9" ht="12.75">
      <c r="B327" t="s">
        <v>210</v>
      </c>
      <c r="H327" s="40">
        <v>566840</v>
      </c>
      <c r="I327" s="59">
        <f t="shared" si="4"/>
        <v>0.01713769718898054</v>
      </c>
    </row>
    <row r="328" spans="2:9" ht="12.75">
      <c r="B328" t="s">
        <v>211</v>
      </c>
      <c r="H328" s="40">
        <v>270950</v>
      </c>
      <c r="I328" s="59">
        <f t="shared" si="4"/>
        <v>0.008191833768531291</v>
      </c>
    </row>
    <row r="329" spans="2:9" ht="12.75">
      <c r="B329" t="s">
        <v>250</v>
      </c>
      <c r="H329" s="40">
        <v>130000</v>
      </c>
      <c r="I329" s="59">
        <f t="shared" si="4"/>
        <v>0.003930387119059118</v>
      </c>
    </row>
    <row r="330" spans="2:9" ht="12.75">
      <c r="B330" t="s">
        <v>421</v>
      </c>
      <c r="H330" s="40">
        <v>15000</v>
      </c>
      <c r="I330" s="59">
        <f t="shared" si="4"/>
        <v>0.00045350620604528284</v>
      </c>
    </row>
    <row r="331" spans="8:9" ht="12.75">
      <c r="H331" s="40"/>
      <c r="I331" s="59"/>
    </row>
    <row r="332" spans="1:9" s="18" customFormat="1" ht="12.75">
      <c r="A332" s="18" t="s">
        <v>52</v>
      </c>
      <c r="B332" s="18" t="s">
        <v>53</v>
      </c>
      <c r="D332" s="19"/>
      <c r="E332" s="19"/>
      <c r="H332" s="41">
        <f>SUM(H333:H339)</f>
        <v>297238</v>
      </c>
      <c r="I332" s="58">
        <f aca="true" t="shared" si="5" ref="I332:I337">H332/H$448</f>
        <v>0.008986618511499185</v>
      </c>
    </row>
    <row r="333" spans="2:9" s="17" customFormat="1" ht="12.75">
      <c r="B333" s="17" t="s">
        <v>71</v>
      </c>
      <c r="D333" s="22"/>
      <c r="E333" s="22"/>
      <c r="H333" s="38">
        <v>156430</v>
      </c>
      <c r="I333" s="59">
        <f t="shared" si="5"/>
        <v>0.004729465054110906</v>
      </c>
    </row>
    <row r="334" spans="2:9" s="17" customFormat="1" ht="12.75">
      <c r="B334" s="17" t="s">
        <v>251</v>
      </c>
      <c r="D334" s="22"/>
      <c r="E334" s="22"/>
      <c r="H334" s="38">
        <v>7500</v>
      </c>
      <c r="I334" s="59">
        <f t="shared" si="5"/>
        <v>0.00022675310302264142</v>
      </c>
    </row>
    <row r="335" spans="2:9" s="17" customFormat="1" ht="12.75">
      <c r="B335" s="17" t="s">
        <v>252</v>
      </c>
      <c r="D335" s="22"/>
      <c r="E335" s="22"/>
      <c r="H335" s="38">
        <v>66300</v>
      </c>
      <c r="I335" s="59">
        <f t="shared" si="5"/>
        <v>0.00200449743072015</v>
      </c>
    </row>
    <row r="336" spans="2:9" s="17" customFormat="1" ht="12.75">
      <c r="B336" s="17" t="s">
        <v>253</v>
      </c>
      <c r="D336" s="22"/>
      <c r="E336" s="22"/>
      <c r="H336" s="38">
        <v>64400</v>
      </c>
      <c r="I336" s="59">
        <f t="shared" si="5"/>
        <v>0.0019470533112877476</v>
      </c>
    </row>
    <row r="337" spans="2:9" ht="12.75">
      <c r="B337" t="s">
        <v>254</v>
      </c>
      <c r="H337" s="40">
        <v>1118</v>
      </c>
      <c r="I337" s="59">
        <f t="shared" si="5"/>
        <v>3.380132922390841E-05</v>
      </c>
    </row>
    <row r="338" spans="2:9" ht="12.75">
      <c r="B338" s="6" t="s">
        <v>255</v>
      </c>
      <c r="H338" s="40"/>
      <c r="I338" s="59"/>
    </row>
    <row r="339" spans="2:9" ht="12.75">
      <c r="B339" s="6" t="s">
        <v>205</v>
      </c>
      <c r="H339" s="40">
        <v>1490</v>
      </c>
      <c r="I339" s="59">
        <f>H339/H$448</f>
        <v>4.504828313383143E-05</v>
      </c>
    </row>
    <row r="340" spans="8:9" ht="12.75">
      <c r="H340" s="40"/>
      <c r="I340" s="59"/>
    </row>
    <row r="341" spans="1:9" s="3" customFormat="1" ht="12.75">
      <c r="A341" s="3" t="s">
        <v>54</v>
      </c>
      <c r="B341" s="3" t="s">
        <v>72</v>
      </c>
      <c r="D341" s="8"/>
      <c r="E341" s="8"/>
      <c r="H341" s="39">
        <f>SUM(H342:H352)</f>
        <v>1645550</v>
      </c>
      <c r="I341" s="58">
        <f aca="true" t="shared" si="6" ref="I341:I347">H341/H$448</f>
        <v>0.04975114249052101</v>
      </c>
    </row>
    <row r="342" spans="2:9" ht="12.75">
      <c r="B342" t="s">
        <v>23</v>
      </c>
      <c r="H342" s="40">
        <v>895500</v>
      </c>
      <c r="I342" s="59">
        <f t="shared" si="6"/>
        <v>0.027074320500903384</v>
      </c>
    </row>
    <row r="343" spans="2:9" ht="12.75">
      <c r="B343" t="s">
        <v>24</v>
      </c>
      <c r="H343" s="40">
        <f>214100-50000</f>
        <v>164100</v>
      </c>
      <c r="I343" s="59">
        <f t="shared" si="6"/>
        <v>0.004961357894135395</v>
      </c>
    </row>
    <row r="344" spans="2:9" ht="12.75">
      <c r="B344" t="s">
        <v>256</v>
      </c>
      <c r="H344" s="40">
        <f>233450</f>
        <v>233450</v>
      </c>
      <c r="I344" s="59">
        <f t="shared" si="6"/>
        <v>0.007058068253418085</v>
      </c>
    </row>
    <row r="345" spans="2:9" ht="12.75">
      <c r="B345" t="s">
        <v>257</v>
      </c>
      <c r="H345" s="40">
        <v>106000</v>
      </c>
      <c r="I345" s="59">
        <f t="shared" si="6"/>
        <v>0.0032047771893866654</v>
      </c>
    </row>
    <row r="346" spans="2:9" ht="12.75">
      <c r="B346" t="s">
        <v>258</v>
      </c>
      <c r="H346" s="40">
        <v>11000</v>
      </c>
      <c r="I346" s="59">
        <f t="shared" si="6"/>
        <v>0.00033257121776654073</v>
      </c>
    </row>
    <row r="347" spans="2:9" ht="12.75">
      <c r="B347" t="s">
        <v>259</v>
      </c>
      <c r="H347" s="40">
        <f>45000-20000</f>
        <v>25000</v>
      </c>
      <c r="I347" s="59">
        <f t="shared" si="6"/>
        <v>0.0007558436767421381</v>
      </c>
    </row>
    <row r="348" spans="2:9" ht="12.75">
      <c r="B348" t="s">
        <v>422</v>
      </c>
      <c r="H348" s="40"/>
      <c r="I348" s="59"/>
    </row>
    <row r="349" spans="2:9" ht="12.75">
      <c r="B349" t="s">
        <v>423</v>
      </c>
      <c r="H349" s="40">
        <v>20000</v>
      </c>
      <c r="I349" s="59">
        <f>H349/H$448</f>
        <v>0.0006046749413937104</v>
      </c>
    </row>
    <row r="350" spans="2:9" ht="12.75">
      <c r="B350" t="s">
        <v>424</v>
      </c>
      <c r="H350" s="40">
        <v>15000</v>
      </c>
      <c r="I350" s="59">
        <f>H350/H$448</f>
        <v>0.00045350620604528284</v>
      </c>
    </row>
    <row r="351" spans="2:9" ht="12.75">
      <c r="B351" t="s">
        <v>425</v>
      </c>
      <c r="H351" s="40">
        <f>3000+22500</f>
        <v>25500</v>
      </c>
      <c r="I351" s="59">
        <f>H351/H$448</f>
        <v>0.0007709605502769808</v>
      </c>
    </row>
    <row r="352" spans="2:9" ht="12.75">
      <c r="B352" t="s">
        <v>426</v>
      </c>
      <c r="H352" s="40">
        <v>150000</v>
      </c>
      <c r="I352" s="59">
        <f>H352/H$448</f>
        <v>0.004535062060452829</v>
      </c>
    </row>
    <row r="353" spans="8:9" ht="12.75">
      <c r="H353" s="40"/>
      <c r="I353" s="59"/>
    </row>
    <row r="354" spans="8:9" ht="12.75">
      <c r="H354" s="40"/>
      <c r="I354" s="59"/>
    </row>
    <row r="355" spans="8:9" ht="12.75">
      <c r="H355" s="40"/>
      <c r="I355" s="59"/>
    </row>
    <row r="356" spans="8:9" ht="12.75">
      <c r="H356" s="40"/>
      <c r="I356" s="59"/>
    </row>
    <row r="357" spans="1:9" s="3" customFormat="1" ht="12.75">
      <c r="A357" s="3" t="s">
        <v>77</v>
      </c>
      <c r="B357" s="3" t="s">
        <v>73</v>
      </c>
      <c r="D357" s="8"/>
      <c r="E357" s="8"/>
      <c r="H357" s="39">
        <f>SUM(H358:H362)</f>
        <v>1630700</v>
      </c>
      <c r="I357" s="58">
        <f>H357/H$448</f>
        <v>0.04930217134653618</v>
      </c>
    </row>
    <row r="358" spans="2:9" s="3" customFormat="1" ht="12.75">
      <c r="B358" t="s">
        <v>74</v>
      </c>
      <c r="D358" s="8"/>
      <c r="E358" s="8"/>
      <c r="H358" s="38">
        <v>500000</v>
      </c>
      <c r="I358" s="59">
        <f>H358/H$448</f>
        <v>0.015116873534842762</v>
      </c>
    </row>
    <row r="359" spans="2:9" ht="12.75">
      <c r="B359" t="s">
        <v>75</v>
      </c>
      <c r="H359" s="38">
        <f>240000+15000</f>
        <v>255000</v>
      </c>
      <c r="I359" s="59">
        <f>H359/H$448</f>
        <v>0.007709605502769808</v>
      </c>
    </row>
    <row r="360" spans="2:9" ht="12.75">
      <c r="B360" t="s">
        <v>140</v>
      </c>
      <c r="H360" s="40">
        <v>35700</v>
      </c>
      <c r="I360" s="59">
        <f>H360/H$448</f>
        <v>0.0010793447703877732</v>
      </c>
    </row>
    <row r="361" spans="2:9" ht="12.75">
      <c r="B361" t="s">
        <v>340</v>
      </c>
      <c r="H361" s="40"/>
      <c r="I361" s="59"/>
    </row>
    <row r="362" spans="2:9" ht="12.75">
      <c r="B362" t="s">
        <v>341</v>
      </c>
      <c r="H362" s="40">
        <f>870000-30000</f>
        <v>840000</v>
      </c>
      <c r="I362" s="59">
        <f>H362/H$448</f>
        <v>0.02539634753853584</v>
      </c>
    </row>
    <row r="363" spans="2:9" ht="12.75">
      <c r="B363" t="s">
        <v>342</v>
      </c>
      <c r="E363" s="36"/>
      <c r="H363" s="40"/>
      <c r="I363" s="59"/>
    </row>
    <row r="364" spans="2:9" ht="12.75">
      <c r="B364" t="s">
        <v>343</v>
      </c>
      <c r="E364" s="36"/>
      <c r="H364" s="40"/>
      <c r="I364" s="59"/>
    </row>
    <row r="365" spans="2:9" ht="12.75">
      <c r="B365" t="s">
        <v>344</v>
      </c>
      <c r="E365" s="36"/>
      <c r="H365" s="40"/>
      <c r="I365" s="59"/>
    </row>
    <row r="366" spans="2:9" ht="12.75">
      <c r="B366" t="s">
        <v>345</v>
      </c>
      <c r="E366" s="36"/>
      <c r="H366" s="40"/>
      <c r="I366" s="59"/>
    </row>
    <row r="367" spans="1:9" ht="12.75">
      <c r="A367" t="s">
        <v>346</v>
      </c>
      <c r="B367" s="50" t="s">
        <v>347</v>
      </c>
      <c r="E367" s="36"/>
      <c r="H367" s="40"/>
      <c r="I367" s="59"/>
    </row>
    <row r="368" spans="8:9" ht="12.75">
      <c r="H368" s="40"/>
      <c r="I368" s="59"/>
    </row>
    <row r="369" spans="1:9" s="3" customFormat="1" ht="12.75">
      <c r="A369" s="3" t="s">
        <v>76</v>
      </c>
      <c r="B369" s="3" t="s">
        <v>27</v>
      </c>
      <c r="D369" s="8"/>
      <c r="E369" s="8"/>
      <c r="H369" s="39">
        <f>SUM(H370:H375)</f>
        <v>193000</v>
      </c>
      <c r="I369" s="58">
        <f>H369/H$448</f>
        <v>0.005835113184449306</v>
      </c>
    </row>
    <row r="370" spans="2:9" s="17" customFormat="1" ht="12.75">
      <c r="B370" s="17" t="s">
        <v>285</v>
      </c>
      <c r="D370" s="22"/>
      <c r="E370" s="22"/>
      <c r="H370" s="38">
        <f>233000-130000</f>
        <v>103000</v>
      </c>
      <c r="I370" s="59">
        <f>H370/H$448</f>
        <v>0.003114075948177609</v>
      </c>
    </row>
    <row r="371" ht="12.75">
      <c r="B371" t="s">
        <v>427</v>
      </c>
    </row>
    <row r="372" spans="2:9" ht="12.75">
      <c r="B372" t="s">
        <v>428</v>
      </c>
      <c r="E372" s="36"/>
      <c r="H372" s="40"/>
      <c r="I372" s="59"/>
    </row>
    <row r="373" spans="2:9" ht="12.75">
      <c r="B373" t="s">
        <v>430</v>
      </c>
      <c r="E373" s="36"/>
      <c r="H373" s="40"/>
      <c r="I373" s="59"/>
    </row>
    <row r="374" spans="2:9" ht="12.75">
      <c r="B374" s="50" t="s">
        <v>429</v>
      </c>
      <c r="E374" s="36"/>
      <c r="H374" s="40"/>
      <c r="I374" s="59"/>
    </row>
    <row r="375" spans="2:9" ht="12.75">
      <c r="B375" s="50" t="s">
        <v>431</v>
      </c>
      <c r="E375" s="36"/>
      <c r="H375" s="40">
        <f>130000-40000</f>
        <v>90000</v>
      </c>
      <c r="I375" s="59">
        <f>H375/H$448</f>
        <v>0.002721037236271697</v>
      </c>
    </row>
    <row r="376" spans="8:9" ht="12.75">
      <c r="H376" s="40"/>
      <c r="I376" s="59"/>
    </row>
    <row r="377" spans="8:9" ht="12.75">
      <c r="H377" s="40"/>
      <c r="I377" s="59"/>
    </row>
    <row r="378" spans="8:9" ht="12.75">
      <c r="H378" s="40"/>
      <c r="I378" s="59"/>
    </row>
    <row r="379" spans="1:9" s="10" customFormat="1" ht="15">
      <c r="A379" s="5" t="s">
        <v>30</v>
      </c>
      <c r="B379" s="5"/>
      <c r="C379" s="5"/>
      <c r="D379" s="12"/>
      <c r="E379" s="12"/>
      <c r="F379" s="5"/>
      <c r="G379" s="5"/>
      <c r="H379" s="43">
        <f>H381+H396+H400+H403+H410+H416+H427+H430+H441</f>
        <v>11779740</v>
      </c>
      <c r="I379" s="57">
        <f>H379/H$448</f>
        <v>0.35614567970665734</v>
      </c>
    </row>
    <row r="380" spans="1:9" ht="12.75">
      <c r="A380" s="3" t="s">
        <v>15</v>
      </c>
      <c r="H380" s="40"/>
      <c r="I380" s="59"/>
    </row>
    <row r="381" spans="1:9" s="18" customFormat="1" ht="12.75">
      <c r="A381" s="18" t="s">
        <v>55</v>
      </c>
      <c r="B381" s="18" t="s">
        <v>224</v>
      </c>
      <c r="D381" s="19"/>
      <c r="E381" s="19"/>
      <c r="H381" s="41">
        <f>SUM(H382:H394)</f>
        <v>4240000</v>
      </c>
      <c r="I381" s="58">
        <f>H381/H$448</f>
        <v>0.12819108757546663</v>
      </c>
    </row>
    <row r="382" spans="2:9" s="17" customFormat="1" ht="12.75">
      <c r="B382" s="17" t="s">
        <v>348</v>
      </c>
      <c r="D382" s="22"/>
      <c r="E382" s="22"/>
      <c r="H382" s="38">
        <v>500000</v>
      </c>
      <c r="I382" s="59">
        <f>H382/H$448</f>
        <v>0.015116873534842762</v>
      </c>
    </row>
    <row r="383" spans="2:9" ht="12.75">
      <c r="B383" t="s">
        <v>432</v>
      </c>
      <c r="H383" s="40">
        <v>500000</v>
      </c>
      <c r="I383" s="59">
        <f>H383/H$448</f>
        <v>0.015116873534842762</v>
      </c>
    </row>
    <row r="384" ht="12.75">
      <c r="B384" t="s">
        <v>435</v>
      </c>
    </row>
    <row r="385" spans="2:9" ht="12.75">
      <c r="B385" t="s">
        <v>436</v>
      </c>
      <c r="H385" s="40">
        <v>1500000</v>
      </c>
      <c r="I385" s="59">
        <f>H385/H$448</f>
        <v>0.04535062060452828</v>
      </c>
    </row>
    <row r="386" spans="2:9" ht="12.75">
      <c r="B386" t="s">
        <v>437</v>
      </c>
      <c r="H386" s="40">
        <v>1000000</v>
      </c>
      <c r="I386" s="59">
        <f>H386/H$448</f>
        <v>0.030233747069685523</v>
      </c>
    </row>
    <row r="387" ht="12.75">
      <c r="B387" t="s">
        <v>433</v>
      </c>
    </row>
    <row r="388" spans="2:9" ht="12.75">
      <c r="B388" t="s">
        <v>434</v>
      </c>
      <c r="H388" s="40">
        <v>500000</v>
      </c>
      <c r="I388" s="59">
        <f>H388/H$448</f>
        <v>0.015116873534842762</v>
      </c>
    </row>
    <row r="389" spans="2:9" ht="12.75">
      <c r="B389" t="s">
        <v>438</v>
      </c>
      <c r="I389" s="59"/>
    </row>
    <row r="390" spans="2:9" ht="12.75">
      <c r="B390" t="s">
        <v>368</v>
      </c>
      <c r="H390" s="40">
        <v>100000</v>
      </c>
      <c r="I390" s="59">
        <f>H390/H$448</f>
        <v>0.0030233747069685524</v>
      </c>
    </row>
    <row r="391" spans="2:9" ht="12.75">
      <c r="B391" t="s">
        <v>439</v>
      </c>
      <c r="H391" s="40">
        <v>90000</v>
      </c>
      <c r="I391" s="59">
        <f>H391/H$448</f>
        <v>0.002721037236271697</v>
      </c>
    </row>
    <row r="392" spans="2:9" ht="12.75">
      <c r="B392" t="s">
        <v>440</v>
      </c>
      <c r="H392" s="40">
        <v>30000</v>
      </c>
      <c r="I392" s="59">
        <f>H392/H$448</f>
        <v>0.0009070124120905657</v>
      </c>
    </row>
    <row r="393" spans="2:9" ht="12.75">
      <c r="B393" t="s">
        <v>441</v>
      </c>
      <c r="H393" s="40"/>
      <c r="I393" s="59"/>
    </row>
    <row r="394" spans="2:9" ht="12.75">
      <c r="B394" t="s">
        <v>442</v>
      </c>
      <c r="H394" s="40">
        <v>20000</v>
      </c>
      <c r="I394" s="59">
        <f>H394/H$448</f>
        <v>0.0006046749413937104</v>
      </c>
    </row>
    <row r="395" spans="8:9" ht="12.75">
      <c r="H395" s="40"/>
      <c r="I395" s="59"/>
    </row>
    <row r="396" spans="1:9" s="18" customFormat="1" ht="12.75">
      <c r="A396" s="18" t="s">
        <v>35</v>
      </c>
      <c r="B396" s="18" t="s">
        <v>260</v>
      </c>
      <c r="D396" s="19"/>
      <c r="E396" s="19"/>
      <c r="H396" s="41">
        <f>SUM(H397:H398)</f>
        <v>4770000</v>
      </c>
      <c r="I396" s="58">
        <f>H396/H$448</f>
        <v>0.14421497352239995</v>
      </c>
    </row>
    <row r="397" spans="2:9" ht="12.75">
      <c r="B397" t="s">
        <v>369</v>
      </c>
      <c r="H397" s="40">
        <v>4500000</v>
      </c>
      <c r="I397" s="59">
        <f>H397/H$448</f>
        <v>0.13605186181358486</v>
      </c>
    </row>
    <row r="398" spans="2:9" ht="12.75">
      <c r="B398" t="s">
        <v>443</v>
      </c>
      <c r="H398" s="40">
        <v>270000</v>
      </c>
      <c r="I398" s="59">
        <f>H398/H$448</f>
        <v>0.00816311170881509</v>
      </c>
    </row>
    <row r="399" spans="8:9" ht="12.75">
      <c r="H399" s="40"/>
      <c r="I399" s="59"/>
    </row>
    <row r="400" spans="1:9" s="3" customFormat="1" ht="12.75">
      <c r="A400" s="3" t="s">
        <v>59</v>
      </c>
      <c r="B400" s="3" t="s">
        <v>60</v>
      </c>
      <c r="D400" s="8"/>
      <c r="E400" s="8"/>
      <c r="H400" s="39">
        <f>H401</f>
        <v>100000</v>
      </c>
      <c r="I400" s="58">
        <f>H400/H$448</f>
        <v>0.0030233747069685524</v>
      </c>
    </row>
    <row r="401" spans="1:9" s="47" customFormat="1" ht="12.75">
      <c r="A401" s="6"/>
      <c r="B401" s="6" t="s">
        <v>349</v>
      </c>
      <c r="C401" s="6"/>
      <c r="D401" s="9"/>
      <c r="E401" s="9"/>
      <c r="F401" s="6"/>
      <c r="G401" s="6"/>
      <c r="H401" s="42">
        <v>100000</v>
      </c>
      <c r="I401" s="59">
        <f>H401/H$448</f>
        <v>0.0030233747069685524</v>
      </c>
    </row>
    <row r="402" spans="8:9" ht="12.75">
      <c r="H402" s="40"/>
      <c r="I402" s="59"/>
    </row>
    <row r="403" spans="1:9" s="18" customFormat="1" ht="12.75">
      <c r="A403" s="18" t="s">
        <v>40</v>
      </c>
      <c r="B403" s="18" t="s">
        <v>41</v>
      </c>
      <c r="D403" s="19"/>
      <c r="E403" s="19"/>
      <c r="H403" s="41">
        <f>SUM(H404:H408)</f>
        <v>118500</v>
      </c>
      <c r="I403" s="58">
        <f aca="true" t="shared" si="7" ref="I403:I408">H403/H$448</f>
        <v>0.0035826990277577344</v>
      </c>
    </row>
    <row r="404" spans="2:9" ht="12.75">
      <c r="B404" t="s">
        <v>408</v>
      </c>
      <c r="H404" s="40">
        <v>4000</v>
      </c>
      <c r="I404" s="59">
        <f t="shared" si="7"/>
        <v>0.00012093498827874209</v>
      </c>
    </row>
    <row r="405" spans="2:9" ht="12.75">
      <c r="B405" t="s">
        <v>350</v>
      </c>
      <c r="H405" s="40">
        <v>45000</v>
      </c>
      <c r="I405" s="59">
        <f t="shared" si="7"/>
        <v>0.0013605186181358485</v>
      </c>
    </row>
    <row r="406" spans="2:9" ht="12.75">
      <c r="B406" t="s">
        <v>351</v>
      </c>
      <c r="H406" s="40">
        <v>50000</v>
      </c>
      <c r="I406" s="59">
        <f t="shared" si="7"/>
        <v>0.0015116873534842762</v>
      </c>
    </row>
    <row r="407" spans="2:9" ht="12.75">
      <c r="B407" t="s">
        <v>352</v>
      </c>
      <c r="H407" s="40">
        <v>4500</v>
      </c>
      <c r="I407" s="59">
        <f t="shared" si="7"/>
        <v>0.00013605186181358484</v>
      </c>
    </row>
    <row r="408" spans="2:9" ht="12.75">
      <c r="B408" t="s">
        <v>444</v>
      </c>
      <c r="H408" s="40">
        <v>15000</v>
      </c>
      <c r="I408" s="59">
        <f t="shared" si="7"/>
        <v>0.00045350620604528284</v>
      </c>
    </row>
    <row r="409" spans="8:9" ht="12.75">
      <c r="H409" s="40"/>
      <c r="I409" s="59"/>
    </row>
    <row r="410" spans="1:9" s="18" customFormat="1" ht="12.75">
      <c r="A410" s="18" t="s">
        <v>44</v>
      </c>
      <c r="B410" s="18" t="s">
        <v>45</v>
      </c>
      <c r="D410" s="19"/>
      <c r="E410" s="19"/>
      <c r="H410" s="41">
        <f>SUM(H411:H412)</f>
        <v>25000</v>
      </c>
      <c r="I410" s="58">
        <f>H410/H$448</f>
        <v>0.0007558436767421381</v>
      </c>
    </row>
    <row r="411" spans="2:9" s="17" customFormat="1" ht="12.75">
      <c r="B411" s="17" t="s">
        <v>353</v>
      </c>
      <c r="D411" s="22"/>
      <c r="E411" s="22"/>
      <c r="H411" s="38">
        <v>20000</v>
      </c>
      <c r="I411" s="59">
        <f>H411/H$448</f>
        <v>0.0006046749413937104</v>
      </c>
    </row>
    <row r="412" spans="2:9" ht="12.75">
      <c r="B412" t="s">
        <v>354</v>
      </c>
      <c r="H412" s="40">
        <v>5000</v>
      </c>
      <c r="I412" s="59">
        <f>H412/H$448</f>
        <v>0.0001511687353484276</v>
      </c>
    </row>
    <row r="413" spans="8:9" ht="12.75">
      <c r="H413" s="40"/>
      <c r="I413" s="59"/>
    </row>
    <row r="414" spans="8:9" ht="12.75">
      <c r="H414" s="40"/>
      <c r="I414" s="59"/>
    </row>
    <row r="415" spans="8:9" ht="12.75">
      <c r="H415" s="40"/>
      <c r="I415" s="59"/>
    </row>
    <row r="416" spans="1:9" s="18" customFormat="1" ht="12.75">
      <c r="A416" s="18" t="s">
        <v>51</v>
      </c>
      <c r="B416" s="18" t="s">
        <v>4</v>
      </c>
      <c r="D416" s="19"/>
      <c r="E416" s="19"/>
      <c r="H416" s="41">
        <f>SUM(H417:H425)</f>
        <v>878500</v>
      </c>
      <c r="I416" s="58">
        <f aca="true" t="shared" si="8" ref="I416:I427">H416/H$448</f>
        <v>0.026560346800718733</v>
      </c>
    </row>
    <row r="417" spans="2:9" s="17" customFormat="1" ht="12.75">
      <c r="B417" s="17" t="s">
        <v>355</v>
      </c>
      <c r="D417" s="22"/>
      <c r="E417" s="22"/>
      <c r="H417" s="38">
        <v>5000</v>
      </c>
      <c r="I417" s="59">
        <f t="shared" si="8"/>
        <v>0.0001511687353484276</v>
      </c>
    </row>
    <row r="418" spans="2:9" s="17" customFormat="1" ht="12.75">
      <c r="B418" s="31" t="s">
        <v>356</v>
      </c>
      <c r="D418" s="22"/>
      <c r="E418" s="22"/>
      <c r="H418" s="38">
        <v>13500</v>
      </c>
      <c r="I418" s="59">
        <f t="shared" si="8"/>
        <v>0.0004081555854407546</v>
      </c>
    </row>
    <row r="419" spans="2:9" ht="12.75">
      <c r="B419" t="s">
        <v>357</v>
      </c>
      <c r="H419" s="40">
        <v>27000</v>
      </c>
      <c r="I419" s="59">
        <f t="shared" si="8"/>
        <v>0.0008163111708815091</v>
      </c>
    </row>
    <row r="420" spans="2:9" ht="12.75">
      <c r="B420" t="s">
        <v>358</v>
      </c>
      <c r="H420" s="40">
        <v>40000</v>
      </c>
      <c r="I420" s="59">
        <f t="shared" si="8"/>
        <v>0.0012093498827874208</v>
      </c>
    </row>
    <row r="421" spans="2:9" ht="12.75">
      <c r="B421" t="s">
        <v>359</v>
      </c>
      <c r="H421" s="40">
        <v>50000</v>
      </c>
      <c r="I421" s="59">
        <f t="shared" si="8"/>
        <v>0.0015116873534842762</v>
      </c>
    </row>
    <row r="422" spans="2:9" ht="12.75">
      <c r="B422" t="s">
        <v>445</v>
      </c>
      <c r="H422" s="40">
        <f>200000-100000-20000</f>
        <v>80000</v>
      </c>
      <c r="I422" s="59">
        <f t="shared" si="8"/>
        <v>0.0024186997655748417</v>
      </c>
    </row>
    <row r="423" spans="2:9" ht="12.75">
      <c r="B423" t="s">
        <v>360</v>
      </c>
      <c r="H423" s="40">
        <v>100000</v>
      </c>
      <c r="I423" s="59">
        <f t="shared" si="8"/>
        <v>0.0030233747069685524</v>
      </c>
    </row>
    <row r="424" spans="2:9" ht="12.75">
      <c r="B424" t="s">
        <v>361</v>
      </c>
      <c r="H424" s="40">
        <v>409000</v>
      </c>
      <c r="I424" s="59">
        <f t="shared" si="8"/>
        <v>0.012365602551501379</v>
      </c>
    </row>
    <row r="425" spans="2:9" ht="12.75">
      <c r="B425" t="s">
        <v>362</v>
      </c>
      <c r="H425" s="40">
        <v>154000</v>
      </c>
      <c r="I425" s="59">
        <f t="shared" si="8"/>
        <v>0.00465599704873157</v>
      </c>
    </row>
    <row r="426" spans="8:9" ht="12.75">
      <c r="H426" s="40"/>
      <c r="I426" s="59"/>
    </row>
    <row r="427" spans="1:9" ht="12.75">
      <c r="A427" s="18" t="s">
        <v>70</v>
      </c>
      <c r="B427" s="18" t="s">
        <v>26</v>
      </c>
      <c r="H427" s="39">
        <f>H428</f>
        <v>50000</v>
      </c>
      <c r="I427" s="58">
        <f t="shared" si="8"/>
        <v>0.0015116873534842762</v>
      </c>
    </row>
    <row r="428" spans="2:9" ht="12.75">
      <c r="B428" t="s">
        <v>446</v>
      </c>
      <c r="H428" s="40">
        <v>50000</v>
      </c>
      <c r="I428" s="59">
        <f>H428/H$448</f>
        <v>0.0015116873534842762</v>
      </c>
    </row>
    <row r="429" spans="8:9" ht="12.75">
      <c r="H429" s="40"/>
      <c r="I429" s="59"/>
    </row>
    <row r="430" spans="1:9" s="18" customFormat="1" ht="12.75">
      <c r="A430" s="18" t="s">
        <v>54</v>
      </c>
      <c r="B430" s="18" t="s">
        <v>141</v>
      </c>
      <c r="D430" s="19"/>
      <c r="E430" s="19"/>
      <c r="H430" s="41">
        <f>SUM(H431:H439)</f>
        <v>1295440</v>
      </c>
      <c r="I430" s="58">
        <f>H430/H$448</f>
        <v>0.039166005303953415</v>
      </c>
    </row>
    <row r="431" spans="2:9" s="17" customFormat="1" ht="12.75">
      <c r="B431" s="17" t="s">
        <v>363</v>
      </c>
      <c r="D431" s="22"/>
      <c r="E431" s="22"/>
      <c r="H431" s="38">
        <v>50000</v>
      </c>
      <c r="I431" s="59">
        <f>H431/H$448</f>
        <v>0.0015116873534842762</v>
      </c>
    </row>
    <row r="432" spans="2:9" s="17" customFormat="1" ht="12.75">
      <c r="B432" s="17" t="s">
        <v>370</v>
      </c>
      <c r="D432" s="22"/>
      <c r="E432" s="22"/>
      <c r="H432" s="38">
        <v>15000</v>
      </c>
      <c r="I432" s="59">
        <f>H432/H$448</f>
        <v>0.00045350620604528284</v>
      </c>
    </row>
    <row r="433" spans="2:9" s="17" customFormat="1" ht="12.75">
      <c r="B433" s="17" t="s">
        <v>364</v>
      </c>
      <c r="D433" s="22"/>
      <c r="E433" s="22"/>
      <c r="H433" s="38">
        <v>700000</v>
      </c>
      <c r="I433" s="59">
        <f>H433/H$448</f>
        <v>0.021163622948779867</v>
      </c>
    </row>
    <row r="434" spans="2:9" s="17" customFormat="1" ht="12.75">
      <c r="B434" s="17" t="s">
        <v>365</v>
      </c>
      <c r="D434" s="22"/>
      <c r="E434" s="22"/>
      <c r="I434" s="59"/>
    </row>
    <row r="435" spans="2:9" s="17" customFormat="1" ht="12.75">
      <c r="B435" s="17" t="s">
        <v>371</v>
      </c>
      <c r="D435" s="22"/>
      <c r="E435" s="22"/>
      <c r="H435" s="38">
        <v>60000</v>
      </c>
      <c r="I435" s="59">
        <f>H435/H$448</f>
        <v>0.0018140248241811313</v>
      </c>
    </row>
    <row r="436" spans="2:9" s="17" customFormat="1" ht="12.75">
      <c r="B436" s="17" t="s">
        <v>366</v>
      </c>
      <c r="D436" s="22"/>
      <c r="E436" s="22"/>
      <c r="H436" s="38"/>
      <c r="I436" s="59"/>
    </row>
    <row r="437" spans="2:9" ht="12.75">
      <c r="B437" t="s">
        <v>367</v>
      </c>
      <c r="H437" s="40">
        <v>100440</v>
      </c>
      <c r="I437" s="59">
        <f>H437/H$448</f>
        <v>0.003036677555679214</v>
      </c>
    </row>
    <row r="438" spans="2:9" ht="12.75">
      <c r="B438" t="s">
        <v>372</v>
      </c>
      <c r="H438" s="40">
        <v>300000</v>
      </c>
      <c r="I438" s="59">
        <f>H438/H$448</f>
        <v>0.009070124120905658</v>
      </c>
    </row>
    <row r="439" spans="2:9" ht="12.75">
      <c r="B439" t="s">
        <v>373</v>
      </c>
      <c r="H439" s="40">
        <v>70000</v>
      </c>
      <c r="I439" s="59">
        <f>H439/H$448</f>
        <v>0.0021163622948779867</v>
      </c>
    </row>
    <row r="440" spans="8:9" ht="12.75">
      <c r="H440" s="40"/>
      <c r="I440" s="59"/>
    </row>
    <row r="441" spans="1:9" s="3" customFormat="1" ht="12.75">
      <c r="A441" s="3" t="s">
        <v>377</v>
      </c>
      <c r="B441" s="3" t="s">
        <v>378</v>
      </c>
      <c r="D441" s="8"/>
      <c r="E441" s="8"/>
      <c r="H441" s="39">
        <f>SUM(H443:H446)</f>
        <v>302300</v>
      </c>
      <c r="I441" s="58">
        <f>H441/H$448</f>
        <v>0.009139661739165934</v>
      </c>
    </row>
    <row r="442" spans="2:8" ht="12.75">
      <c r="B442" t="s">
        <v>379</v>
      </c>
      <c r="H442" s="36"/>
    </row>
    <row r="443" spans="2:9" ht="12.75">
      <c r="B443" t="s">
        <v>374</v>
      </c>
      <c r="H443" s="40">
        <f>320000-220000</f>
        <v>100000</v>
      </c>
      <c r="I443" s="59">
        <f>H443/H$448</f>
        <v>0.0030233747069685524</v>
      </c>
    </row>
    <row r="444" spans="2:9" ht="12.75">
      <c r="B444" t="s">
        <v>380</v>
      </c>
      <c r="H444" s="40"/>
      <c r="I444" s="59"/>
    </row>
    <row r="445" spans="2:9" ht="12.75">
      <c r="B445" t="s">
        <v>375</v>
      </c>
      <c r="H445" s="40"/>
      <c r="I445" s="59"/>
    </row>
    <row r="446" spans="2:9" ht="12.75">
      <c r="B446" t="s">
        <v>376</v>
      </c>
      <c r="H446" s="40">
        <v>202300</v>
      </c>
      <c r="I446" s="59">
        <f>H446/H$448</f>
        <v>0.006116287032197381</v>
      </c>
    </row>
    <row r="447" spans="8:9" ht="12.75">
      <c r="H447" s="40"/>
      <c r="I447" s="59"/>
    </row>
    <row r="448" spans="2:9" s="1" customFormat="1" ht="15">
      <c r="B448" s="1" t="s">
        <v>31</v>
      </c>
      <c r="D448" s="11"/>
      <c r="E448" s="11"/>
      <c r="H448" s="39">
        <f>H379+H216</f>
        <v>33075622.34</v>
      </c>
      <c r="I448" s="58">
        <f>H448/H$448</f>
        <v>1</v>
      </c>
    </row>
    <row r="449" spans="4:9" s="1" customFormat="1" ht="15">
      <c r="D449" s="11"/>
      <c r="E449" s="11"/>
      <c r="H449" s="39"/>
      <c r="I449" s="58"/>
    </row>
    <row r="450" spans="4:9" s="1" customFormat="1" ht="15">
      <c r="D450" s="11"/>
      <c r="E450" s="11"/>
      <c r="H450" s="39"/>
      <c r="I450" s="58"/>
    </row>
    <row r="451" spans="4:9" s="1" customFormat="1" ht="15">
      <c r="D451" s="11"/>
      <c r="E451" s="11"/>
      <c r="H451" s="39"/>
      <c r="I451" s="58"/>
    </row>
    <row r="452" spans="4:9" s="1" customFormat="1" ht="15">
      <c r="D452" s="11"/>
      <c r="E452" s="11"/>
      <c r="H452" s="39"/>
      <c r="I452" s="58"/>
    </row>
    <row r="453" spans="4:9" s="1" customFormat="1" ht="15">
      <c r="D453" s="11"/>
      <c r="E453" s="11"/>
      <c r="H453" s="39"/>
      <c r="I453" s="58"/>
    </row>
    <row r="454" spans="4:9" s="1" customFormat="1" ht="15">
      <c r="D454" s="11"/>
      <c r="E454" s="11"/>
      <c r="H454" s="39"/>
      <c r="I454" s="58"/>
    </row>
    <row r="455" spans="4:9" s="1" customFormat="1" ht="15">
      <c r="D455" s="11"/>
      <c r="E455" s="11"/>
      <c r="H455" s="39"/>
      <c r="I455" s="58"/>
    </row>
    <row r="456" spans="4:9" s="1" customFormat="1" ht="15">
      <c r="D456" s="11"/>
      <c r="E456" s="11"/>
      <c r="H456" s="39"/>
      <c r="I456" s="58"/>
    </row>
    <row r="457" spans="4:9" s="1" customFormat="1" ht="15">
      <c r="D457" s="11"/>
      <c r="E457" s="11"/>
      <c r="H457" s="39"/>
      <c r="I457" s="58"/>
    </row>
    <row r="458" spans="4:9" s="1" customFormat="1" ht="15">
      <c r="D458" s="11"/>
      <c r="E458" s="11"/>
      <c r="H458" s="39"/>
      <c r="I458" s="58"/>
    </row>
    <row r="459" spans="4:9" s="1" customFormat="1" ht="15">
      <c r="D459" s="11"/>
      <c r="E459" s="11"/>
      <c r="H459" s="39"/>
      <c r="I459" s="58"/>
    </row>
    <row r="460" spans="4:9" s="1" customFormat="1" ht="15">
      <c r="D460" s="11"/>
      <c r="E460" s="11"/>
      <c r="H460" s="39"/>
      <c r="I460" s="58"/>
    </row>
    <row r="461" spans="4:9" s="1" customFormat="1" ht="15">
      <c r="D461" s="11"/>
      <c r="E461" s="11"/>
      <c r="H461" s="39"/>
      <c r="I461" s="58"/>
    </row>
    <row r="462" spans="4:9" s="1" customFormat="1" ht="15">
      <c r="D462" s="11"/>
      <c r="E462" s="11"/>
      <c r="H462" s="39"/>
      <c r="I462" s="58"/>
    </row>
    <row r="463" spans="4:9" s="1" customFormat="1" ht="15">
      <c r="D463" s="11"/>
      <c r="E463" s="11"/>
      <c r="H463" s="39"/>
      <c r="I463" s="58"/>
    </row>
    <row r="464" spans="4:9" s="1" customFormat="1" ht="15">
      <c r="D464" s="11"/>
      <c r="E464" s="11"/>
      <c r="H464" s="39"/>
      <c r="I464" s="58"/>
    </row>
    <row r="465" spans="4:9" s="1" customFormat="1" ht="15">
      <c r="D465" s="11"/>
      <c r="E465" s="11"/>
      <c r="H465" s="39"/>
      <c r="I465" s="58"/>
    </row>
    <row r="466" spans="4:9" s="1" customFormat="1" ht="15">
      <c r="D466" s="11"/>
      <c r="E466" s="11"/>
      <c r="H466" s="39"/>
      <c r="I466" s="58"/>
    </row>
    <row r="467" spans="4:9" s="1" customFormat="1" ht="15">
      <c r="D467" s="11"/>
      <c r="E467" s="11"/>
      <c r="H467" s="39"/>
      <c r="I467" s="58"/>
    </row>
    <row r="468" spans="4:9" s="1" customFormat="1" ht="15">
      <c r="D468" s="11"/>
      <c r="E468" s="11"/>
      <c r="H468" s="39"/>
      <c r="I468" s="58"/>
    </row>
    <row r="469" spans="4:9" s="1" customFormat="1" ht="15">
      <c r="D469" s="11"/>
      <c r="E469" s="11"/>
      <c r="H469" s="39"/>
      <c r="I469" s="58"/>
    </row>
    <row r="470" spans="4:9" s="1" customFormat="1" ht="15">
      <c r="D470" s="11"/>
      <c r="E470" s="11"/>
      <c r="H470" s="39"/>
      <c r="I470" s="58"/>
    </row>
    <row r="471" spans="4:9" s="1" customFormat="1" ht="15">
      <c r="D471" s="11"/>
      <c r="E471" s="11"/>
      <c r="H471" s="39"/>
      <c r="I471" s="58"/>
    </row>
    <row r="472" spans="1:9" s="24" customFormat="1" ht="15">
      <c r="A472" s="23" t="s">
        <v>261</v>
      </c>
      <c r="D472" s="25"/>
      <c r="E472" s="25"/>
      <c r="H472" s="44"/>
      <c r="I472" s="55"/>
    </row>
    <row r="473" spans="6:8" ht="12.75">
      <c r="F473" s="4"/>
      <c r="G473" s="4"/>
      <c r="H473" s="36"/>
    </row>
    <row r="474" spans="1:9" s="18" customFormat="1" ht="12.75">
      <c r="A474" s="18" t="s">
        <v>54</v>
      </c>
      <c r="B474" s="18" t="s">
        <v>100</v>
      </c>
      <c r="D474" s="19"/>
      <c r="E474" s="19"/>
      <c r="H474" s="35"/>
      <c r="I474" s="52"/>
    </row>
    <row r="475" spans="4:9" s="18" customFormat="1" ht="12.75">
      <c r="D475" s="19"/>
      <c r="E475" s="19"/>
      <c r="H475" s="35"/>
      <c r="I475" s="52"/>
    </row>
    <row r="476" spans="2:9" s="17" customFormat="1" ht="12.75">
      <c r="B476" s="17" t="s">
        <v>215</v>
      </c>
      <c r="D476" s="22"/>
      <c r="E476" s="22"/>
      <c r="H476" s="33">
        <v>1000</v>
      </c>
      <c r="I476" s="50"/>
    </row>
    <row r="477" spans="2:9" s="29" customFormat="1" ht="12.75">
      <c r="B477" s="29" t="s">
        <v>101</v>
      </c>
      <c r="D477" s="30"/>
      <c r="E477" s="30"/>
      <c r="H477" s="45"/>
      <c r="I477" s="60"/>
    </row>
    <row r="478" spans="2:9" s="29" customFormat="1" ht="12.75">
      <c r="B478" s="29" t="s">
        <v>145</v>
      </c>
      <c r="D478" s="30"/>
      <c r="E478" s="30"/>
      <c r="H478" s="45">
        <v>51000</v>
      </c>
      <c r="I478" s="60"/>
    </row>
    <row r="479" spans="4:9" s="29" customFormat="1" ht="12.75">
      <c r="D479" s="30"/>
      <c r="E479" s="30"/>
      <c r="H479" s="45"/>
      <c r="I479" s="60"/>
    </row>
    <row r="480" spans="2:9" s="29" customFormat="1" ht="12.75">
      <c r="B480" s="29" t="s">
        <v>79</v>
      </c>
      <c r="D480" s="30"/>
      <c r="E480" s="30"/>
      <c r="H480" s="45">
        <f>SUM(F482:F494)</f>
        <v>51000</v>
      </c>
      <c r="I480" s="60"/>
    </row>
    <row r="481" spans="2:8" ht="12.75">
      <c r="B481" t="s">
        <v>15</v>
      </c>
      <c r="H481" s="36"/>
    </row>
    <row r="482" spans="2:8" ht="12.75">
      <c r="B482" t="s">
        <v>102</v>
      </c>
      <c r="F482" s="62">
        <v>8000</v>
      </c>
      <c r="H482" s="36"/>
    </row>
    <row r="483" spans="2:8" ht="12.75">
      <c r="B483" t="s">
        <v>212</v>
      </c>
      <c r="F483" s="62"/>
      <c r="H483" s="36"/>
    </row>
    <row r="484" spans="2:8" ht="12.75">
      <c r="B484" t="s">
        <v>213</v>
      </c>
      <c r="F484" s="62"/>
      <c r="H484" s="36"/>
    </row>
    <row r="485" spans="2:8" ht="12.75">
      <c r="B485" t="s">
        <v>214</v>
      </c>
      <c r="F485" s="62">
        <v>3000</v>
      </c>
      <c r="H485" s="36"/>
    </row>
    <row r="486" spans="2:8" ht="12.75">
      <c r="B486" s="50" t="s">
        <v>383</v>
      </c>
      <c r="F486" s="62">
        <v>2000</v>
      </c>
      <c r="H486" s="36"/>
    </row>
    <row r="487" spans="2:8" ht="12.75">
      <c r="B487" s="50" t="s">
        <v>386</v>
      </c>
      <c r="F487" s="62">
        <v>3500</v>
      </c>
      <c r="H487" s="36"/>
    </row>
    <row r="488" spans="2:8" ht="12.75">
      <c r="B488" t="s">
        <v>384</v>
      </c>
      <c r="F488" s="62">
        <v>10000</v>
      </c>
      <c r="H488" s="36"/>
    </row>
    <row r="489" spans="2:8" ht="12.75">
      <c r="B489" t="s">
        <v>385</v>
      </c>
      <c r="F489" s="62">
        <v>10000</v>
      </c>
      <c r="H489" s="36"/>
    </row>
    <row r="490" spans="2:8" ht="12.75">
      <c r="B490" t="s">
        <v>387</v>
      </c>
      <c r="F490" s="62">
        <v>5000</v>
      </c>
      <c r="H490" s="36"/>
    </row>
    <row r="491" spans="2:8" ht="12.75">
      <c r="B491" t="s">
        <v>388</v>
      </c>
      <c r="F491" s="62"/>
      <c r="H491" s="36"/>
    </row>
    <row r="492" spans="2:8" ht="12.75">
      <c r="B492" t="s">
        <v>389</v>
      </c>
      <c r="F492" s="62">
        <v>5000</v>
      </c>
      <c r="H492" s="36"/>
    </row>
    <row r="493" spans="2:8" ht="12.75">
      <c r="B493" t="s">
        <v>390</v>
      </c>
      <c r="F493" s="62">
        <v>4000</v>
      </c>
      <c r="H493" s="36"/>
    </row>
    <row r="494" spans="2:8" ht="12.75">
      <c r="B494" t="s">
        <v>391</v>
      </c>
      <c r="F494" s="62">
        <v>500</v>
      </c>
      <c r="H494" s="36"/>
    </row>
    <row r="495" spans="6:8" ht="12.75">
      <c r="F495" s="4"/>
      <c r="H495" s="36"/>
    </row>
    <row r="496" spans="2:8" ht="12.75">
      <c r="B496" s="17" t="s">
        <v>216</v>
      </c>
      <c r="F496" s="4"/>
      <c r="H496" s="36">
        <f>H476+H478-H480</f>
        <v>1000</v>
      </c>
    </row>
    <row r="497" spans="6:8" ht="12.75">
      <c r="F497" s="4"/>
      <c r="G497" s="4"/>
      <c r="H497" s="36"/>
    </row>
    <row r="498" spans="1:9" s="18" customFormat="1" ht="12.75">
      <c r="A498" s="18" t="s">
        <v>54</v>
      </c>
      <c r="B498" s="18" t="s">
        <v>81</v>
      </c>
      <c r="D498" s="19"/>
      <c r="E498" s="19"/>
      <c r="F498" s="19"/>
      <c r="G498" s="19"/>
      <c r="H498" s="35"/>
      <c r="I498" s="52"/>
    </row>
    <row r="499" spans="4:9" s="18" customFormat="1" ht="12.75">
      <c r="D499" s="19"/>
      <c r="E499" s="19"/>
      <c r="F499" s="19"/>
      <c r="G499" s="19"/>
      <c r="H499" s="35"/>
      <c r="I499" s="52"/>
    </row>
    <row r="500" spans="2:9" s="17" customFormat="1" ht="12.75">
      <c r="B500" s="17" t="s">
        <v>217</v>
      </c>
      <c r="D500" s="22"/>
      <c r="E500" s="22"/>
      <c r="F500" s="22"/>
      <c r="G500" s="22"/>
      <c r="H500" s="33">
        <v>64123.62</v>
      </c>
      <c r="I500" s="50"/>
    </row>
    <row r="501" spans="6:8" ht="12.75">
      <c r="F501" s="4"/>
      <c r="G501" s="4"/>
      <c r="H501" s="36"/>
    </row>
    <row r="502" spans="2:9" s="29" customFormat="1" ht="12.75">
      <c r="B502" s="29" t="s">
        <v>78</v>
      </c>
      <c r="D502" s="30"/>
      <c r="E502" s="30"/>
      <c r="F502" s="30"/>
      <c r="G502" s="30"/>
      <c r="H502" s="45">
        <f>SUM(H504:H510)</f>
        <v>3211000</v>
      </c>
      <c r="I502" s="60"/>
    </row>
    <row r="503" spans="2:8" ht="12.75">
      <c r="B503" t="s">
        <v>15</v>
      </c>
      <c r="F503" s="4"/>
      <c r="G503" s="4"/>
      <c r="H503" s="36"/>
    </row>
    <row r="504" spans="2:8" ht="12.75">
      <c r="B504" t="s">
        <v>82</v>
      </c>
      <c r="F504" s="4"/>
      <c r="G504" s="4"/>
      <c r="H504" s="36">
        <v>1260000</v>
      </c>
    </row>
    <row r="505" spans="2:8" ht="12.75">
      <c r="B505" t="s">
        <v>83</v>
      </c>
      <c r="F505" s="4"/>
      <c r="G505" s="4"/>
      <c r="H505" s="36">
        <v>1891000</v>
      </c>
    </row>
    <row r="506" spans="2:8" ht="12.75">
      <c r="B506" t="s">
        <v>392</v>
      </c>
      <c r="F506" s="4"/>
      <c r="G506" s="4"/>
      <c r="H506" s="36"/>
    </row>
    <row r="507" spans="2:8" ht="12.75">
      <c r="B507" t="s">
        <v>393</v>
      </c>
      <c r="F507" s="4"/>
      <c r="G507" s="4"/>
      <c r="H507" s="36"/>
    </row>
    <row r="508" spans="2:8" ht="12.75">
      <c r="B508" t="s">
        <v>394</v>
      </c>
      <c r="F508" s="4"/>
      <c r="G508" s="4"/>
      <c r="H508" s="36"/>
    </row>
    <row r="509" spans="2:8" ht="12.75">
      <c r="B509" t="s">
        <v>395</v>
      </c>
      <c r="F509" s="4"/>
      <c r="G509" s="4"/>
      <c r="H509" s="36"/>
    </row>
    <row r="510" spans="2:8" ht="12.75">
      <c r="B510" t="s">
        <v>396</v>
      </c>
      <c r="F510" s="4"/>
      <c r="G510" s="4"/>
      <c r="H510" s="36">
        <v>60000</v>
      </c>
    </row>
    <row r="511" spans="6:8" ht="12.75">
      <c r="F511" s="4"/>
      <c r="G511" s="4"/>
      <c r="H511" s="36"/>
    </row>
    <row r="512" spans="2:9" s="29" customFormat="1" ht="12.75">
      <c r="B512" s="29" t="s">
        <v>173</v>
      </c>
      <c r="D512" s="30"/>
      <c r="E512" s="30"/>
      <c r="F512" s="30"/>
      <c r="G512" s="30"/>
      <c r="H512" s="45">
        <v>3211000</v>
      </c>
      <c r="I512" s="60"/>
    </row>
    <row r="513" spans="2:8" ht="12.75">
      <c r="B513" t="s">
        <v>80</v>
      </c>
      <c r="F513" s="4"/>
      <c r="G513" s="4"/>
      <c r="H513" s="36"/>
    </row>
    <row r="514" spans="2:8" ht="12.75">
      <c r="B514" t="s">
        <v>262</v>
      </c>
      <c r="F514" s="4"/>
      <c r="G514" s="4"/>
      <c r="H514" s="36">
        <f>1098000+88000+204000+28300+17000</f>
        <v>1435300</v>
      </c>
    </row>
    <row r="515" spans="2:8" ht="12.75">
      <c r="B515" t="s">
        <v>84</v>
      </c>
      <c r="F515" s="4"/>
      <c r="G515" s="4"/>
      <c r="H515" s="36"/>
    </row>
    <row r="516" spans="2:8" ht="12.75">
      <c r="B516" t="s">
        <v>85</v>
      </c>
      <c r="F516" s="4"/>
      <c r="G516" s="4"/>
      <c r="H516" s="36"/>
    </row>
    <row r="517" spans="2:8" ht="12.75">
      <c r="B517" t="s">
        <v>86</v>
      </c>
      <c r="H517" s="36"/>
    </row>
    <row r="518" spans="2:8" ht="12.75">
      <c r="B518" t="s">
        <v>87</v>
      </c>
      <c r="F518" s="4"/>
      <c r="G518" s="4"/>
      <c r="H518" s="36">
        <v>325200</v>
      </c>
    </row>
    <row r="519" spans="2:8" ht="12.75">
      <c r="B519" t="s">
        <v>142</v>
      </c>
      <c r="F519" s="4"/>
      <c r="G519" s="4"/>
      <c r="H519" s="36">
        <v>400000</v>
      </c>
    </row>
    <row r="520" spans="2:8" ht="12.75">
      <c r="B520" t="s">
        <v>117</v>
      </c>
      <c r="F520" s="4"/>
      <c r="G520" s="4"/>
      <c r="H520" s="36"/>
    </row>
    <row r="521" spans="2:8" ht="12.75">
      <c r="B521" t="s">
        <v>118</v>
      </c>
      <c r="F521" s="4"/>
      <c r="G521" s="4"/>
      <c r="H521" s="36"/>
    </row>
    <row r="522" spans="2:8" ht="12.75">
      <c r="B522" t="s">
        <v>119</v>
      </c>
      <c r="F522" s="4"/>
      <c r="G522" s="4"/>
      <c r="H522" s="36"/>
    </row>
    <row r="523" spans="2:8" ht="12.75">
      <c r="B523" t="s">
        <v>120</v>
      </c>
      <c r="F523" s="4"/>
      <c r="G523" s="4"/>
      <c r="H523" s="36">
        <v>150000</v>
      </c>
    </row>
    <row r="524" spans="2:8" ht="12.75">
      <c r="B524" t="s">
        <v>121</v>
      </c>
      <c r="F524" s="4"/>
      <c r="G524" s="4"/>
      <c r="H524" s="36"/>
    </row>
    <row r="525" spans="2:8" ht="12.75">
      <c r="B525" t="s">
        <v>122</v>
      </c>
      <c r="F525" s="4"/>
      <c r="G525" s="4"/>
      <c r="H525" s="36"/>
    </row>
    <row r="526" spans="2:8" ht="12.75">
      <c r="B526" t="s">
        <v>123</v>
      </c>
      <c r="F526" s="4"/>
      <c r="G526" s="4"/>
      <c r="H526" s="36"/>
    </row>
    <row r="527" spans="2:8" ht="12.75">
      <c r="B527" t="s">
        <v>124</v>
      </c>
      <c r="F527" s="4"/>
      <c r="G527" s="4"/>
      <c r="H527" s="36">
        <v>260000</v>
      </c>
    </row>
    <row r="528" spans="6:8" ht="12.75">
      <c r="F528" s="4"/>
      <c r="G528" s="4"/>
      <c r="H528" s="36"/>
    </row>
    <row r="529" spans="6:8" ht="12.75">
      <c r="F529" s="4"/>
      <c r="G529" s="4"/>
      <c r="H529" s="36"/>
    </row>
    <row r="530" spans="2:8" ht="12.75">
      <c r="B530" t="s">
        <v>88</v>
      </c>
      <c r="F530" s="36"/>
      <c r="G530" s="4"/>
      <c r="H530" s="36">
        <f>SUM(F531:F534)</f>
        <v>511000</v>
      </c>
    </row>
    <row r="531" spans="2:8" ht="12.75">
      <c r="B531" t="s">
        <v>89</v>
      </c>
      <c r="F531" s="62">
        <v>350000</v>
      </c>
      <c r="G531" s="4"/>
      <c r="H531" s="36"/>
    </row>
    <row r="532" spans="2:8" ht="12.75">
      <c r="B532" t="s">
        <v>90</v>
      </c>
      <c r="F532" s="62">
        <v>1000</v>
      </c>
      <c r="G532" s="4"/>
      <c r="H532" s="36"/>
    </row>
    <row r="533" spans="2:8" ht="12.75">
      <c r="B533" t="s">
        <v>91</v>
      </c>
      <c r="F533" s="62"/>
      <c r="G533" s="4"/>
      <c r="H533" s="36"/>
    </row>
    <row r="534" spans="2:8" ht="12.75">
      <c r="B534" t="s">
        <v>92</v>
      </c>
      <c r="F534" s="62">
        <v>160000</v>
      </c>
      <c r="G534" s="4"/>
      <c r="H534" s="36"/>
    </row>
    <row r="535" ht="12.75">
      <c r="H535" s="36"/>
    </row>
    <row r="536" spans="2:8" ht="12.75">
      <c r="B536" t="s">
        <v>218</v>
      </c>
      <c r="H536" s="36">
        <f>H500+H502-H512</f>
        <v>64123.62000000011</v>
      </c>
    </row>
    <row r="537" ht="12.75">
      <c r="H537" s="36"/>
    </row>
    <row r="538" spans="2:8" ht="12.75">
      <c r="B538" t="s">
        <v>93</v>
      </c>
      <c r="H538" s="36"/>
    </row>
    <row r="539" ht="12.75">
      <c r="H539" s="36"/>
    </row>
    <row r="540" ht="12.75">
      <c r="H540" s="36"/>
    </row>
    <row r="541" ht="12.75">
      <c r="H541" s="36"/>
    </row>
    <row r="542" spans="1:9" s="18" customFormat="1" ht="12.75">
      <c r="A542" s="18" t="s">
        <v>54</v>
      </c>
      <c r="B542" s="18" t="s">
        <v>94</v>
      </c>
      <c r="D542" s="19"/>
      <c r="E542" s="19"/>
      <c r="H542" s="35"/>
      <c r="I542" s="52"/>
    </row>
    <row r="543" spans="4:9" s="18" customFormat="1" ht="12.75">
      <c r="D543" s="19"/>
      <c r="E543" s="19"/>
      <c r="H543" s="35"/>
      <c r="I543" s="52"/>
    </row>
    <row r="544" spans="2:9" s="18" customFormat="1" ht="12.75">
      <c r="B544" t="s">
        <v>219</v>
      </c>
      <c r="D544" s="19"/>
      <c r="E544" s="19"/>
      <c r="H544" s="33">
        <v>1043.47</v>
      </c>
      <c r="I544" s="52"/>
    </row>
    <row r="545" ht="12.75">
      <c r="H545" s="36"/>
    </row>
    <row r="546" spans="2:9" s="29" customFormat="1" ht="12.75">
      <c r="B546" s="29" t="s">
        <v>78</v>
      </c>
      <c r="D546" s="30"/>
      <c r="E546" s="30"/>
      <c r="H546" s="45">
        <f>SUM(F551:F557)</f>
        <v>2380000</v>
      </c>
      <c r="I546" s="60"/>
    </row>
    <row r="547" spans="2:8" ht="12.75">
      <c r="B547" t="s">
        <v>15</v>
      </c>
      <c r="H547" s="36"/>
    </row>
    <row r="548" ht="12.75">
      <c r="H548" s="36"/>
    </row>
    <row r="549" spans="2:8" ht="12.75">
      <c r="B549" t="s">
        <v>125</v>
      </c>
      <c r="H549" s="36"/>
    </row>
    <row r="550" spans="2:8" ht="12.75">
      <c r="B550" t="s">
        <v>126</v>
      </c>
      <c r="H550" s="36"/>
    </row>
    <row r="551" spans="2:8" ht="12.75">
      <c r="B551" t="s">
        <v>127</v>
      </c>
      <c r="F551" s="46">
        <v>2157000</v>
      </c>
      <c r="G551" s="4"/>
      <c r="H551" s="36"/>
    </row>
    <row r="552" spans="2:8" ht="12.75">
      <c r="B552" t="s">
        <v>286</v>
      </c>
      <c r="F552" s="46">
        <v>15000</v>
      </c>
      <c r="G552" s="4"/>
      <c r="H552" s="36"/>
    </row>
    <row r="553" spans="2:8" ht="12.75">
      <c r="B553" t="s">
        <v>398</v>
      </c>
      <c r="F553" s="46"/>
      <c r="G553" s="4"/>
      <c r="H553" s="36"/>
    </row>
    <row r="554" spans="2:8" ht="12.75">
      <c r="B554" s="6" t="s">
        <v>399</v>
      </c>
      <c r="F554" s="46"/>
      <c r="G554" s="4"/>
      <c r="H554" s="36"/>
    </row>
    <row r="555" spans="2:8" ht="12.75">
      <c r="B555" s="6" t="s">
        <v>400</v>
      </c>
      <c r="F555" s="46"/>
      <c r="G555" s="4"/>
      <c r="H555" s="36"/>
    </row>
    <row r="556" spans="2:8" ht="12.75">
      <c r="B556" s="6" t="s">
        <v>401</v>
      </c>
      <c r="F556" s="46">
        <v>58000</v>
      </c>
      <c r="G556" s="4"/>
      <c r="H556" s="36"/>
    </row>
    <row r="557" spans="2:8" ht="12.75">
      <c r="B557" s="6" t="s">
        <v>402</v>
      </c>
      <c r="F557" s="46">
        <v>150000</v>
      </c>
      <c r="G557" s="4"/>
      <c r="H557" s="36"/>
    </row>
    <row r="558" spans="6:8" ht="12.75">
      <c r="F558" s="63"/>
      <c r="G558" s="4"/>
      <c r="H558" s="36"/>
    </row>
    <row r="559" spans="2:9" s="29" customFormat="1" ht="12.75">
      <c r="B559" s="29" t="s">
        <v>172</v>
      </c>
      <c r="D559" s="30"/>
      <c r="E559" s="30"/>
      <c r="F559" s="64"/>
      <c r="G559" s="30"/>
      <c r="H559" s="45">
        <v>2380800</v>
      </c>
      <c r="I559" s="60"/>
    </row>
    <row r="560" spans="2:8" ht="12.75">
      <c r="B560" t="s">
        <v>80</v>
      </c>
      <c r="F560" s="63"/>
      <c r="G560" s="4"/>
      <c r="H560" s="36"/>
    </row>
    <row r="561" spans="2:8" ht="12.75">
      <c r="B561" t="s">
        <v>263</v>
      </c>
      <c r="F561" s="46">
        <f>820000+60000+150000+30000+200000</f>
        <v>1260000</v>
      </c>
      <c r="G561" s="4"/>
      <c r="H561" s="36"/>
    </row>
    <row r="562" spans="2:8" ht="12.75">
      <c r="B562" t="s">
        <v>95</v>
      </c>
      <c r="F562" s="46"/>
      <c r="G562" s="4"/>
      <c r="H562" s="36"/>
    </row>
    <row r="563" spans="2:8" ht="12.75">
      <c r="B563" t="s">
        <v>96</v>
      </c>
      <c r="F563" s="46">
        <v>250000</v>
      </c>
      <c r="G563" s="4"/>
      <c r="H563" s="36"/>
    </row>
    <row r="564" spans="2:8" ht="12.75">
      <c r="B564" t="s">
        <v>97</v>
      </c>
      <c r="F564" s="46">
        <v>55000</v>
      </c>
      <c r="G564" s="4"/>
      <c r="H564" s="36"/>
    </row>
    <row r="565" spans="2:8" ht="12.75">
      <c r="B565" t="s">
        <v>98</v>
      </c>
      <c r="F565" s="46"/>
      <c r="G565" s="4"/>
      <c r="H565" s="36"/>
    </row>
    <row r="566" spans="2:8" ht="12.75">
      <c r="B566" t="s">
        <v>99</v>
      </c>
      <c r="F566" s="46">
        <v>595000</v>
      </c>
      <c r="G566" s="4"/>
      <c r="H566" s="36"/>
    </row>
    <row r="567" spans="2:8" ht="12.75">
      <c r="B567" t="s">
        <v>143</v>
      </c>
      <c r="F567" s="46">
        <v>52000</v>
      </c>
      <c r="G567" s="4"/>
      <c r="H567" s="36"/>
    </row>
    <row r="568" spans="2:8" ht="12.75">
      <c r="B568" t="s">
        <v>144</v>
      </c>
      <c r="F568" s="46">
        <v>25000</v>
      </c>
      <c r="G568" s="4"/>
      <c r="H568" s="36"/>
    </row>
    <row r="569" spans="6:8" ht="12.75">
      <c r="F569" s="4"/>
      <c r="G569" s="4"/>
      <c r="H569" s="36"/>
    </row>
    <row r="570" spans="2:8" ht="12.75">
      <c r="B570" t="s">
        <v>220</v>
      </c>
      <c r="F570" s="4"/>
      <c r="G570" s="4"/>
      <c r="H570" s="36">
        <f>H544+H546-H559</f>
        <v>243.4700000002049</v>
      </c>
    </row>
    <row r="571" spans="6:8" ht="12.75">
      <c r="F571" s="4"/>
      <c r="G571" s="4"/>
      <c r="H571" s="36"/>
    </row>
    <row r="572" spans="2:8" ht="12.75">
      <c r="B572" t="s">
        <v>93</v>
      </c>
      <c r="F572" s="4"/>
      <c r="G572" s="4"/>
      <c r="H572" s="36"/>
    </row>
    <row r="575" ht="12.75">
      <c r="A575" t="s">
        <v>397</v>
      </c>
    </row>
  </sheetData>
  <printOptions/>
  <pageMargins left="0.5511811023622047" right="0" top="0.7874015748031497" bottom="0.5905511811023623" header="0.11811023622047245" footer="0.31496062992125984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2006-12-22T12:02:18Z</cp:lastPrinted>
  <dcterms:created xsi:type="dcterms:W3CDTF">2001-11-07T14:31:48Z</dcterms:created>
  <dcterms:modified xsi:type="dcterms:W3CDTF">2006-12-22T12:02:26Z</dcterms:modified>
  <cp:category/>
  <cp:version/>
  <cp:contentType/>
  <cp:contentStatus/>
</cp:coreProperties>
</file>