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5475" activeTab="0"/>
  </bookViews>
  <sheets>
    <sheet name="SPRAW" sheetId="1" r:id="rId1"/>
  </sheets>
  <definedNames/>
  <calcPr fullCalcOnLoad="1"/>
</workbook>
</file>

<file path=xl/sharedStrings.xml><?xml version="1.0" encoding="utf-8"?>
<sst xmlns="http://schemas.openxmlformats.org/spreadsheetml/2006/main" count="254" uniqueCount="196">
  <si>
    <t>Wyszczególnienie</t>
  </si>
  <si>
    <t>Plan wg uchwały</t>
  </si>
  <si>
    <t xml:space="preserve">% </t>
  </si>
  <si>
    <t>Struktura</t>
  </si>
  <si>
    <t>Rady Miejskiej</t>
  </si>
  <si>
    <t>realizacji</t>
  </si>
  <si>
    <t>wykon.</t>
  </si>
  <si>
    <t>A.  DOCHODY OGÓŁEM</t>
  </si>
  <si>
    <t>I.Podatki i opłaty lokalne</t>
  </si>
  <si>
    <t>w tym:</t>
  </si>
  <si>
    <t>1/ podatek od nieruchomości</t>
  </si>
  <si>
    <t>II.Udziały w podatkach stano-</t>
  </si>
  <si>
    <t>wiących dochody budzetu państwa</t>
  </si>
  <si>
    <t>1/ podatek dochodowy od</t>
  </si>
  <si>
    <t>osób fizycznych</t>
  </si>
  <si>
    <t>2/ podatek dochodowy od osób</t>
  </si>
  <si>
    <t>prawnych</t>
  </si>
  <si>
    <t>III.Opłata skarbowa</t>
  </si>
  <si>
    <t>IV.Dochody gminnych jedn.organiz.</t>
  </si>
  <si>
    <t>V. Dochody z majątku Gminy</t>
  </si>
  <si>
    <t>i inne dochody własne</t>
  </si>
  <si>
    <t>1/ na zadania własne gminy</t>
  </si>
  <si>
    <t>2/ na zadania zlecone gminom</t>
  </si>
  <si>
    <t>B. WYDATKI OGÓŁEM</t>
  </si>
  <si>
    <t>II.bieżące</t>
  </si>
  <si>
    <t>D. FINANSOWANIE (D1-D2)</t>
  </si>
  <si>
    <t xml:space="preserve">      D1.2.Spłaty pożyczek udzielonych </t>
  </si>
  <si>
    <t xml:space="preserve">      D1.3. Wolne środki  </t>
  </si>
  <si>
    <t xml:space="preserve">      D1.4. Kredyt w rachunku bieżącym</t>
  </si>
  <si>
    <t xml:space="preserve">     wieczyste i użytkowanie</t>
  </si>
  <si>
    <t xml:space="preserve">     D2.1. Spłaty kredytów i pożyczek</t>
  </si>
  <si>
    <t xml:space="preserve">     D2.2. Pożyczki (ZOŚ)</t>
  </si>
  <si>
    <t>1/zwrot dotacji-przedsięwzięcie termomoder.-MTBS</t>
  </si>
  <si>
    <t>I. Majątkowe z tego na:</t>
  </si>
  <si>
    <t xml:space="preserve">    zobowiązań podatkowych</t>
  </si>
  <si>
    <t>VII.Subwencja ogólna z budżetu państwa</t>
  </si>
  <si>
    <t>Wykonanie</t>
  </si>
  <si>
    <t>2/ podatek rolny</t>
  </si>
  <si>
    <t>3/podatek leśny</t>
  </si>
  <si>
    <t>4/podatek od środków transportowych</t>
  </si>
  <si>
    <t>5/karta podatkowa</t>
  </si>
  <si>
    <t>6/ podatek od spadkow i darowizn</t>
  </si>
  <si>
    <t>7 / podatek od posiadania psów</t>
  </si>
  <si>
    <t>8/ opłata targowa</t>
  </si>
  <si>
    <t>9/ opłata prolongacyjna</t>
  </si>
  <si>
    <t>2/ dochody- oświata</t>
  </si>
  <si>
    <t>1/ wpływy z tytułu opłat za użytkowanie</t>
  </si>
  <si>
    <t>2/ wpływy z dzierżawy gruntu</t>
  </si>
  <si>
    <t>3/ przekształcenie wieczystego na własność-os.fiz</t>
  </si>
  <si>
    <t>4/odpłatne nabycie prawa własności nieruch.</t>
  </si>
  <si>
    <t>1/Dochody ogółem</t>
  </si>
  <si>
    <t>2/Dochody ze sprzedaży majątku</t>
  </si>
  <si>
    <t>3/Dochody przeznaczone na sfinansowanie wydatków bieżących(w.1 - w.2)</t>
  </si>
  <si>
    <t>4/ Wydatki bieżące</t>
  </si>
  <si>
    <t>Analiza wykonania założeń do budżetu:</t>
  </si>
  <si>
    <t xml:space="preserve">      D1.1. Kredyty bankowe i pożyczki</t>
  </si>
  <si>
    <t>VI.Dotacje celowe,z tego:</t>
  </si>
  <si>
    <t>C.WYNIK +/-(A-B) nadwyżka budżetu</t>
  </si>
  <si>
    <t xml:space="preserve">10/zwrot za upomnienia </t>
  </si>
  <si>
    <t>5/Kwota przeznaczona z dochodów ze sprzedaży majątku na sfinansowanie wydatków bieżących</t>
  </si>
  <si>
    <t>3/ dochody- edukacyjna opieka wychowawcza</t>
  </si>
  <si>
    <t>6/wpływy z tyt.dzierżawy - cmentarz</t>
  </si>
  <si>
    <t>7/ wpływy ze sprzed.składn.majątkowych</t>
  </si>
  <si>
    <t xml:space="preserve">8/wpływy ze sprzedaży ciepła dla BGŻ </t>
  </si>
  <si>
    <t>10/rozliczenia z lat ubiegłych</t>
  </si>
  <si>
    <t>11/wpływy 5%:dowody osobiste i zaliczki alimentac.</t>
  </si>
  <si>
    <t>i Bohaterów Warszawy (2006-2008)</t>
  </si>
  <si>
    <t>oraz budowa zaplecza sanitarnego (2007)</t>
  </si>
  <si>
    <t>ewidencji dróg (2007)</t>
  </si>
  <si>
    <t>przy ul.Ludowej 2 (2006-2007)</t>
  </si>
  <si>
    <t>językowej (2007)</t>
  </si>
  <si>
    <t>i sieci kanalizacyjnej w ul.Polnej  (2006-2007)</t>
  </si>
  <si>
    <t>ul.Promanada Gwiazd -BALBINKA (2007)</t>
  </si>
  <si>
    <t>1/budowa zjazdu na plażę-ul.Cicha (2005-2007)</t>
  </si>
  <si>
    <t>3/środki z UE-program Socrates Comenius</t>
  </si>
  <si>
    <t>12/wpływy-strefa płatnego postoju</t>
  </si>
  <si>
    <t>5/wpływy z tyt.najmu lokali mieszkalnych i użytk.</t>
  </si>
  <si>
    <t>9/wpływy-sprzedaż energii-skrzynka promocyjnai SIWZ</t>
  </si>
  <si>
    <t>opłat za wieczyste użytkowanie w latach 2005i2006r.</t>
  </si>
  <si>
    <t>naliczonego podatku VAT-sprzedaż nieruch. Kopernika</t>
  </si>
  <si>
    <t>1a/zwrot z US niesłusznie zapłaconego VATu  z tytułu</t>
  </si>
  <si>
    <t xml:space="preserve"> robót budowlanych przy zabytkach -wpisanych do</t>
  </si>
  <si>
    <t xml:space="preserve"> rejestru zabytków-remont dachu kościoła </t>
  </si>
  <si>
    <t>schroniska dla zwierząt  w  Sosnowicach (2007)</t>
  </si>
  <si>
    <t>2/opracowanie projektu na rozb.sieci wod.kan.Wąska</t>
  </si>
  <si>
    <t>3/przebudowa ul.Mickiewicza i Rybackiej(2005-2008)</t>
  </si>
  <si>
    <t xml:space="preserve">4/opracowanie projektu i przebudowa Promenady Gwiazd </t>
  </si>
  <si>
    <t>6/wykonanie studni chłonnej Myśliwska</t>
  </si>
  <si>
    <t>7/projekt bud..parking ul.Komunalna(kanal.deszcz.i ośw.</t>
  </si>
  <si>
    <t>8/zakup toalety i kontenera socj.byt.-parking- Komunalna</t>
  </si>
  <si>
    <t>9/remont ul.Dobrej i parkingu przy Wzgórzu Zielonka</t>
  </si>
  <si>
    <t>10/ Przebudowa drogi w ul.Ludowej i 1000-PP</t>
  </si>
  <si>
    <t>11/dokumentacja i utwardzenie nawierzchni pod punkty</t>
  </si>
  <si>
    <t>12/dokumentacja na przebudowę  ul.Kolejowej (2007)</t>
  </si>
  <si>
    <t>13/dokumentacja na remont  ul.Książąt Pomorskich (2007)</t>
  </si>
  <si>
    <t>13/ odsetki od srodkow na rachunk.bank.i inne</t>
  </si>
  <si>
    <t>14/ odsetki od nietermin.płatności</t>
  </si>
  <si>
    <t>15/opłaty za usługi  opiekuńcze</t>
  </si>
  <si>
    <t>16/ grzywny i kary</t>
  </si>
  <si>
    <t>17/ opłaty adiacenckie</t>
  </si>
  <si>
    <t>18/ opłaty za zajęcie pasa drogowego</t>
  </si>
  <si>
    <t>w podatkach i opłatach lokalnych</t>
  </si>
  <si>
    <t>11/podatek od czynności cywilno-prawnych</t>
  </si>
  <si>
    <t>12/ opłata produktowa</t>
  </si>
  <si>
    <t>13/opłata miejscowa</t>
  </si>
  <si>
    <t>14/opłata za zezwolenia na alkohol</t>
  </si>
  <si>
    <t>15/ opłata za wpis do EDG</t>
  </si>
  <si>
    <t>16/opłata  za udzielenie koncesji TAXI</t>
  </si>
  <si>
    <t>18/ Różne rozliczenia finansowe -wydatki niewygas.</t>
  </si>
  <si>
    <t xml:space="preserve">19/Rekompensata utraconych dochodów </t>
  </si>
  <si>
    <t>60/stacja uzdatniania wody</t>
  </si>
  <si>
    <t>wodno-ściekowej</t>
  </si>
  <si>
    <t>na 31.08.2007r.</t>
  </si>
  <si>
    <t>5/budowa i przebud. ul.Nowomyśliwskiej  (2006-2008)</t>
  </si>
  <si>
    <t>5a/ budowa drogi w ul.Komunalnej</t>
  </si>
  <si>
    <t>D1.Przychody ogółem :z tego;</t>
  </si>
  <si>
    <t>D2.Rozchody ogółem,z tego</t>
  </si>
  <si>
    <t>17/ Różne rozliczenia finansowe, z tytułu:</t>
  </si>
  <si>
    <t>19/różne rozliczenia finansowe ,z tytułu:</t>
  </si>
  <si>
    <t>a/ refundacja wydatków zw.z aktem notar.-"Łącznik"</t>
  </si>
  <si>
    <t>b/unieważnienie aktu notarialnego na "Łącznik-</t>
  </si>
  <si>
    <t>zmniejszenie dochodów(koszty aktu i egzekucyjne)</t>
  </si>
  <si>
    <t>handlowe  przy ul.Bohaterów  Warszawy (2007)</t>
  </si>
  <si>
    <t>13a/remont wiaduktu w miejscowości Lubin</t>
  </si>
  <si>
    <t>KWARTALNA  INFORMACJA  O  WYKONANIU  BUDŻETU GMINY MIĘDZYZDROJE za okres od początku roku do 30.09.2007r.</t>
  </si>
  <si>
    <t>wrzesień</t>
  </si>
  <si>
    <t>na 30.09.2007r.</t>
  </si>
  <si>
    <t>Międzyzdroje,24.10.2007r.</t>
  </si>
  <si>
    <t>5/ na drogi powiatowe</t>
  </si>
  <si>
    <t>4/dot. z budż. państwa-Opieka nad dzieckiem i rodziną</t>
  </si>
  <si>
    <t>14/opr.proj.-remont drogi w ul.Wesołej,Dąbrówki….</t>
  </si>
  <si>
    <t>15/opr.proj.-remont drogi w ul.Zdrojowej i Morskiej…</t>
  </si>
  <si>
    <t>16/ dotacja dla powiatu-przebudowa drogi Zalesie…….</t>
  </si>
  <si>
    <t xml:space="preserve">17/zakup programu komputerowego w celu zaprowadzenia </t>
  </si>
  <si>
    <t>18/projekt hali targowej-Bohaterów Warszawy</t>
  </si>
  <si>
    <t>19/witacz w ciągu drogi wojewódzkiej nr 102</t>
  </si>
  <si>
    <t>20/budowa budynku wielorodz. w M-jach (2006-2008)</t>
  </si>
  <si>
    <t>21/dokumentacja na bud.budynku mieszk.Słowiańska</t>
  </si>
  <si>
    <t>22/ remont mieszkań komunlnych-ulepszenia</t>
  </si>
  <si>
    <t>23/wykonanie adaptacji budynku wczasow. na mieszk.</t>
  </si>
  <si>
    <t>24/ docieplenie budynku……-Ludowa 2</t>
  </si>
  <si>
    <t>25/urządzenie cmentarza w Międzyzdrojach (2006-2009)</t>
  </si>
  <si>
    <t>26/rozbudowa centrali telefonicznej (2007)</t>
  </si>
  <si>
    <t>27/modernizacja sieci komputerowej (2007)</t>
  </si>
  <si>
    <t>28/ zakup programu antywirusowego</t>
  </si>
  <si>
    <t>29/zakup komputerów</t>
  </si>
  <si>
    <t>30/dotacja dla Powiatu-remont budynku Komendy Policji</t>
  </si>
  <si>
    <t>31/remont dachu budynku urzędu (2007)</t>
  </si>
  <si>
    <t>32/zakup zestawu konferencyjnego-nagłośnienie (2007)</t>
  </si>
  <si>
    <t>33/ zakup kiosku informacyjnego…….promocja</t>
  </si>
  <si>
    <t>34/zakup kserokopiarki(2007)</t>
  </si>
  <si>
    <t>35/klimatyzacja -sala ślubów i pom.biurowych</t>
  </si>
  <si>
    <t>36/dokumentacja techniczna -Zwycięstwa nr 50</t>
  </si>
  <si>
    <t>37/wykonanie podjazdu i bramy garażowej- OSP  (2007)</t>
  </si>
  <si>
    <t>38/zakup 2 aparatów powietrznych</t>
  </si>
  <si>
    <t>39/zakup radiostacji dla Straży Miejskiej (2007)</t>
  </si>
  <si>
    <t>40/zakup syren elektronicznych-system alarmowania</t>
  </si>
  <si>
    <t>41/dokumentacja-"Wrota Miedzyzdrojów………….</t>
  </si>
  <si>
    <t>42/szkoła nr 1-zakup kserokopiarki (2007)</t>
  </si>
  <si>
    <t>43/ projekt bud.remontu boisk -szkoła nr 1</t>
  </si>
  <si>
    <t>44/przedszkole-zakup pralnicy z suszarką i patelni (2007)</t>
  </si>
  <si>
    <t>45/gimnazjum-zakup patelni,rzutnikai pracowni</t>
  </si>
  <si>
    <t>46/szkoła nr 1-remont podłączenia energetycznego(2007)</t>
  </si>
  <si>
    <t>47/szkoła nr 1-remont toalet</t>
  </si>
  <si>
    <t>48/szkoła nr 1 -hala sportowa projekt</t>
  </si>
  <si>
    <t>49/szkoła nr 1-remont stołowki (2007)</t>
  </si>
  <si>
    <t>50/szkoła nr 2-projekt i rozbudowa budynku (2007)</t>
  </si>
  <si>
    <t>51/przedszkole-plac zabaw ( 2007)</t>
  </si>
  <si>
    <t>52/budowa ogrodzenia-przedszkole</t>
  </si>
  <si>
    <t xml:space="preserve">53/gimnazjum-elewacja i docieplenie budynku i inne </t>
  </si>
  <si>
    <t>54/gimnazjum-przebudowa klatki schodowej (2007)</t>
  </si>
  <si>
    <t>55/gimnazjum-dokumentacja boisko</t>
  </si>
  <si>
    <t>56/gimnazjum-budowa boiska</t>
  </si>
  <si>
    <t>57/wymiana 15 okien-gimnazjum</t>
  </si>
  <si>
    <t>58/opracow. koncepcji zagospodarow. budynku-Wiklina</t>
  </si>
  <si>
    <t>59/rozbudowa istniejącego placu zabaw w parku (2007)</t>
  </si>
  <si>
    <t>60/rozbudowa oświetlenia ul.Turkusowa (2006-2007)</t>
  </si>
  <si>
    <t>61/dokum.techn.-budowa oświetlenia -Wodziczki…….</t>
  </si>
  <si>
    <t>62/rekultywacja składow.odpadów komunal.(2006-2009)</t>
  </si>
  <si>
    <t xml:space="preserve">63/rozbudowa sieci wodno-kanaliz. w ul.Mierniczej </t>
  </si>
  <si>
    <t>64/dot.dla ZOŚ zakup samochodu i ładowarki</t>
  </si>
  <si>
    <t>65/dot.dla ZOŚ-wykup samochodu Mercedes</t>
  </si>
  <si>
    <t>66/dot.dla ZWiK zakup pompy</t>
  </si>
  <si>
    <t>67/dotacja dla ZWiK pompownia ścieków sanit.Lubin</t>
  </si>
  <si>
    <t>68/dot.ZWiK-wym.przyłączy w Dobrej i zm.zaworu</t>
  </si>
  <si>
    <t xml:space="preserve">69/dotacja dla Gminy Golczewo na budowę </t>
  </si>
  <si>
    <t>70/zakup pompy typu Flugt 3171 180 LT 611 (2007)</t>
  </si>
  <si>
    <t>71/przebudowa  budynku położonego przy</t>
  </si>
  <si>
    <t>72/projekt budowlany i zakup ławek-amfiteatr</t>
  </si>
  <si>
    <t>73/ budowa przyłączy -amfiteatr</t>
  </si>
  <si>
    <t>74/zakup toalety-amfiteatr</t>
  </si>
  <si>
    <t>75/koncepcja na budowę budynku Biblioteki</t>
  </si>
  <si>
    <t>76/projekt budowl.na bud.budynku usł.kawiarni Chopin</t>
  </si>
  <si>
    <t>77/dotacja dla ZGWW-uporządkowanie gospodarki</t>
  </si>
  <si>
    <t>78/inwestycyjne-dotacja z przeznaczeniem na dofinans.</t>
  </si>
  <si>
    <t>79/dotacja-przełożenie pokrycia dachowego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</si>
</sst>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sz val="1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0" fontId="6" fillId="0" borderId="0" xfId="0" applyNumberFormat="1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centerContinuous"/>
    </xf>
    <xf numFmtId="10" fontId="8" fillId="0" borderId="5" xfId="0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2" xfId="0" applyFont="1" applyBorder="1" applyAlignment="1">
      <alignment horizontal="center"/>
    </xf>
    <xf numFmtId="10" fontId="8" fillId="0" borderId="2" xfId="0" applyNumberFormat="1" applyFont="1" applyBorder="1" applyAlignment="1">
      <alignment/>
    </xf>
    <xf numFmtId="0" fontId="11" fillId="0" borderId="7" xfId="0" applyFont="1" applyBorder="1" applyAlignment="1">
      <alignment/>
    </xf>
    <xf numFmtId="10" fontId="11" fillId="0" borderId="2" xfId="0" applyNumberFormat="1" applyFont="1" applyBorder="1" applyAlignment="1">
      <alignment/>
    </xf>
    <xf numFmtId="10" fontId="8" fillId="0" borderId="8" xfId="0" applyNumberFormat="1" applyFont="1" applyBorder="1" applyAlignment="1">
      <alignment/>
    </xf>
    <xf numFmtId="0" fontId="11" fillId="0" borderId="3" xfId="0" applyFont="1" applyBorder="1" applyAlignment="1">
      <alignment/>
    </xf>
    <xf numFmtId="10" fontId="11" fillId="0" borderId="8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8" fillId="0" borderId="8" xfId="0" applyFont="1" applyBorder="1" applyAlignment="1">
      <alignment/>
    </xf>
    <xf numFmtId="10" fontId="11" fillId="0" borderId="7" xfId="0" applyNumberFormat="1" applyFont="1" applyBorder="1" applyAlignment="1">
      <alignment/>
    </xf>
    <xf numFmtId="10" fontId="8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10" fontId="9" fillId="0" borderId="7" xfId="0" applyNumberFormat="1" applyFont="1" applyBorder="1" applyAlignment="1">
      <alignment/>
    </xf>
    <xf numFmtId="10" fontId="9" fillId="0" borderId="2" xfId="0" applyNumberFormat="1" applyFont="1" applyBorder="1" applyAlignment="1">
      <alignment/>
    </xf>
    <xf numFmtId="10" fontId="8" fillId="0" borderId="9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0" fontId="1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8" fillId="0" borderId="11" xfId="0" applyFont="1" applyBorder="1" applyAlignment="1">
      <alignment/>
    </xf>
    <xf numFmtId="1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10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Continuous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10" fontId="11" fillId="0" borderId="1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13" fillId="0" borderId="3" xfId="0" applyFont="1" applyBorder="1" applyAlignment="1">
      <alignment/>
    </xf>
    <xf numFmtId="4" fontId="0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4" fontId="11" fillId="0" borderId="8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8" fillId="0" borderId="3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4" fontId="12" fillId="0" borderId="8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15" xfId="0" applyFont="1" applyBorder="1" applyAlignment="1">
      <alignment horizontal="centerContinuous"/>
    </xf>
    <xf numFmtId="3" fontId="1" fillId="0" borderId="0" xfId="0" applyNumberFormat="1" applyFont="1" applyAlignment="1">
      <alignment/>
    </xf>
    <xf numFmtId="4" fontId="8" fillId="0" borderId="8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0" fontId="0" fillId="0" borderId="9" xfId="0" applyBorder="1" applyAlignment="1">
      <alignment/>
    </xf>
    <xf numFmtId="4" fontId="11" fillId="0" borderId="0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16" fillId="0" borderId="3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16" fillId="0" borderId="7" xfId="0" applyFont="1" applyBorder="1" applyAlignment="1">
      <alignment/>
    </xf>
    <xf numFmtId="10" fontId="9" fillId="0" borderId="7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4" fontId="8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10" fontId="8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10" fontId="8" fillId="0" borderId="7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1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6" fillId="0" borderId="9" xfId="0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10" fontId="8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10" fontId="8" fillId="0" borderId="4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4" fontId="9" fillId="0" borderId="17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4" fontId="9" fillId="0" borderId="18" xfId="0" applyNumberFormat="1" applyFont="1" applyBorder="1" applyAlignment="1">
      <alignment/>
    </xf>
    <xf numFmtId="0" fontId="9" fillId="0" borderId="13" xfId="0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"/>
  <sheetViews>
    <sheetView showGridLines="0" tabSelected="1" workbookViewId="0" topLeftCell="A1">
      <selection activeCell="I5" sqref="I5"/>
    </sheetView>
  </sheetViews>
  <sheetFormatPr defaultColWidth="9.00390625" defaultRowHeight="12.75"/>
  <cols>
    <col min="1" max="1" width="40.25390625" style="0" customWidth="1"/>
    <col min="2" max="2" width="13.625" style="0" customWidth="1"/>
    <col min="3" max="3" width="12.625" style="0" customWidth="1"/>
    <col min="4" max="4" width="12.125" style="0" customWidth="1"/>
    <col min="5" max="5" width="13.25390625" style="0" customWidth="1"/>
    <col min="6" max="6" width="11.00390625" style="9" customWidth="1"/>
    <col min="7" max="7" width="8.00390625" style="0" customWidth="1"/>
    <col min="9" max="9" width="12.625" style="0" customWidth="1"/>
    <col min="11" max="11" width="15.125" style="0" customWidth="1"/>
  </cols>
  <sheetData>
    <row r="1" spans="1:6" s="1" customFormat="1" ht="14.25">
      <c r="A1" s="1" t="s">
        <v>124</v>
      </c>
      <c r="F1" s="7"/>
    </row>
    <row r="2" s="1" customFormat="1" ht="14.25">
      <c r="F2" s="7"/>
    </row>
    <row r="3" spans="2:7" s="1" customFormat="1" ht="14.25">
      <c r="B3" s="89"/>
      <c r="C3" s="89"/>
      <c r="D3" s="57"/>
      <c r="E3" s="96"/>
      <c r="F3" s="7"/>
      <c r="G3" s="5"/>
    </row>
    <row r="4" spans="1:7" ht="16.5" customHeight="1">
      <c r="A4" s="20" t="s">
        <v>0</v>
      </c>
      <c r="B4" s="58" t="s">
        <v>1</v>
      </c>
      <c r="C4" s="59" t="s">
        <v>36</v>
      </c>
      <c r="D4" s="93"/>
      <c r="E4" s="22"/>
      <c r="F4" s="23" t="s">
        <v>2</v>
      </c>
      <c r="G4" s="35" t="s">
        <v>3</v>
      </c>
    </row>
    <row r="5" spans="1:7" ht="16.5" customHeight="1">
      <c r="A5" s="24"/>
      <c r="B5" s="17" t="s">
        <v>4</v>
      </c>
      <c r="C5" s="17" t="s">
        <v>112</v>
      </c>
      <c r="D5" s="25" t="s">
        <v>125</v>
      </c>
      <c r="E5" s="17" t="s">
        <v>126</v>
      </c>
      <c r="F5" s="26" t="s">
        <v>5</v>
      </c>
      <c r="G5" s="17" t="s">
        <v>6</v>
      </c>
    </row>
    <row r="6" spans="1:8" s="56" customFormat="1" ht="12.75">
      <c r="A6" s="54" t="s">
        <v>7</v>
      </c>
      <c r="B6" s="66">
        <f>B8+B32+B38+B43+B49+B80+B86</f>
        <v>30916859.83</v>
      </c>
      <c r="C6" s="66">
        <f>C8+C32+C38+C43+C49+C80+C86</f>
        <v>17507706.860000003</v>
      </c>
      <c r="D6" s="67">
        <f aca="true" t="shared" si="0" ref="D6:D30">E6-C6</f>
        <v>2453269.839999996</v>
      </c>
      <c r="E6" s="66">
        <f>E8+E32+E38+E43+E49+E80+E86</f>
        <v>19960976.7</v>
      </c>
      <c r="F6" s="55">
        <f>E6/B6</f>
        <v>0.6456340265394929</v>
      </c>
      <c r="G6" s="55">
        <f>E6/E$6</f>
        <v>1</v>
      </c>
      <c r="H6" s="60"/>
    </row>
    <row r="7" spans="1:7" ht="12.75">
      <c r="A7" s="33"/>
      <c r="B7" s="68"/>
      <c r="C7" s="68"/>
      <c r="D7" s="68"/>
      <c r="E7" s="68"/>
      <c r="F7" s="29"/>
      <c r="G7" s="35"/>
    </row>
    <row r="8" spans="1:9" ht="12.75">
      <c r="A8" s="27" t="s">
        <v>8</v>
      </c>
      <c r="B8" s="69">
        <f>SUM(B10:B30)</f>
        <v>7762478.08</v>
      </c>
      <c r="C8" s="69">
        <f>SUM(C10:C30)</f>
        <v>6417212.380000001</v>
      </c>
      <c r="D8" s="70">
        <f t="shared" si="0"/>
        <v>1178391.2299999995</v>
      </c>
      <c r="E8" s="69">
        <f>SUM(E10:E30)</f>
        <v>7595603.61</v>
      </c>
      <c r="F8" s="36">
        <f>E8/B8</f>
        <v>0.9785024230303527</v>
      </c>
      <c r="G8" s="63">
        <f>E8/E$6</f>
        <v>0.38052264296265625</v>
      </c>
      <c r="H8" s="62"/>
      <c r="I8" s="90"/>
    </row>
    <row r="9" spans="1:8" ht="12.75">
      <c r="A9" s="18" t="s">
        <v>9</v>
      </c>
      <c r="B9" s="68"/>
      <c r="C9" s="68"/>
      <c r="D9" s="71"/>
      <c r="E9" s="68"/>
      <c r="F9" s="29"/>
      <c r="G9" s="35"/>
      <c r="H9" s="60"/>
    </row>
    <row r="10" spans="1:8" ht="12.75">
      <c r="A10" s="18" t="s">
        <v>10</v>
      </c>
      <c r="B10" s="68">
        <v>5060411</v>
      </c>
      <c r="C10" s="68">
        <v>3488415.02</v>
      </c>
      <c r="D10" s="68">
        <f t="shared" si="0"/>
        <v>565612.3199999998</v>
      </c>
      <c r="E10" s="68">
        <v>4054027.34</v>
      </c>
      <c r="F10" s="37">
        <f>E10/B10</f>
        <v>0.8011261022079036</v>
      </c>
      <c r="G10" s="29">
        <f>E10/E$6</f>
        <v>0.20309764401458372</v>
      </c>
      <c r="H10" s="60"/>
    </row>
    <row r="11" spans="1:8" ht="12.75">
      <c r="A11" s="18" t="s">
        <v>37</v>
      </c>
      <c r="B11" s="68">
        <v>4900</v>
      </c>
      <c r="C11" s="68">
        <v>6184.6</v>
      </c>
      <c r="D11" s="68">
        <f t="shared" si="0"/>
        <v>1212.5</v>
      </c>
      <c r="E11" s="68">
        <v>7397.1</v>
      </c>
      <c r="F11" s="37">
        <f aca="true" t="shared" si="1" ref="F11:F23">E11/B11</f>
        <v>1.5096122448979592</v>
      </c>
      <c r="G11" s="29">
        <f aca="true" t="shared" si="2" ref="G11:G23">E11/E$6</f>
        <v>0.0003705780589383685</v>
      </c>
      <c r="H11" s="60"/>
    </row>
    <row r="12" spans="1:8" ht="12.75">
      <c r="A12" s="18" t="s">
        <v>38</v>
      </c>
      <c r="B12" s="68">
        <v>58000</v>
      </c>
      <c r="C12" s="68">
        <v>46257</v>
      </c>
      <c r="D12" s="68">
        <f t="shared" si="0"/>
        <v>5737</v>
      </c>
      <c r="E12" s="68">
        <v>51994</v>
      </c>
      <c r="F12" s="37">
        <f t="shared" si="1"/>
        <v>0.896448275862069</v>
      </c>
      <c r="G12" s="29">
        <f t="shared" si="2"/>
        <v>0.0026047823601737887</v>
      </c>
      <c r="H12" s="60"/>
    </row>
    <row r="13" spans="1:8" ht="12.75">
      <c r="A13" s="18" t="s">
        <v>39</v>
      </c>
      <c r="B13" s="68">
        <v>64000</v>
      </c>
      <c r="C13" s="68">
        <v>38002.65</v>
      </c>
      <c r="D13" s="68">
        <f t="shared" si="0"/>
        <v>17284.15</v>
      </c>
      <c r="E13" s="68">
        <v>55286.8</v>
      </c>
      <c r="F13" s="37">
        <f t="shared" si="1"/>
        <v>0.86385625</v>
      </c>
      <c r="G13" s="29">
        <f t="shared" si="2"/>
        <v>0.002769744227996619</v>
      </c>
      <c r="H13" s="60"/>
    </row>
    <row r="14" spans="1:8" ht="12.75">
      <c r="A14" s="18" t="s">
        <v>40</v>
      </c>
      <c r="B14" s="68">
        <v>138000</v>
      </c>
      <c r="C14" s="68">
        <v>18458.95</v>
      </c>
      <c r="D14" s="68">
        <f t="shared" si="0"/>
        <v>116656.23</v>
      </c>
      <c r="E14" s="68">
        <v>135115.18</v>
      </c>
      <c r="F14" s="37">
        <f t="shared" si="1"/>
        <v>0.9790955072463767</v>
      </c>
      <c r="G14" s="29">
        <f t="shared" si="2"/>
        <v>0.006768966370267844</v>
      </c>
      <c r="H14" s="60"/>
    </row>
    <row r="15" spans="1:8" s="3" customFormat="1" ht="14.25">
      <c r="A15" s="18" t="s">
        <v>41</v>
      </c>
      <c r="B15" s="68">
        <v>46000</v>
      </c>
      <c r="C15" s="68">
        <v>141474.1</v>
      </c>
      <c r="D15" s="68">
        <f t="shared" si="0"/>
        <v>21760.309999999998</v>
      </c>
      <c r="E15" s="68">
        <v>163234.41</v>
      </c>
      <c r="F15" s="37">
        <f t="shared" si="1"/>
        <v>3.548574130434783</v>
      </c>
      <c r="G15" s="29">
        <f t="shared" si="2"/>
        <v>0.008177676496160632</v>
      </c>
      <c r="H15" s="60"/>
    </row>
    <row r="16" spans="1:8" s="3" customFormat="1" ht="14.25">
      <c r="A16" s="18" t="s">
        <v>42</v>
      </c>
      <c r="B16" s="68">
        <v>5000</v>
      </c>
      <c r="C16" s="68">
        <v>3040</v>
      </c>
      <c r="D16" s="68">
        <f t="shared" si="0"/>
        <v>80</v>
      </c>
      <c r="E16" s="68">
        <v>3120</v>
      </c>
      <c r="F16" s="37">
        <f t="shared" si="1"/>
        <v>0.624</v>
      </c>
      <c r="G16" s="29">
        <f t="shared" si="2"/>
        <v>0.0001563049768000581</v>
      </c>
      <c r="H16" s="60"/>
    </row>
    <row r="17" spans="1:8" s="3" customFormat="1" ht="14.25">
      <c r="A17" s="18" t="s">
        <v>43</v>
      </c>
      <c r="B17" s="68">
        <v>136873</v>
      </c>
      <c r="C17" s="68">
        <v>134040.5</v>
      </c>
      <c r="D17" s="68">
        <f t="shared" si="0"/>
        <v>10045.200000000012</v>
      </c>
      <c r="E17" s="68">
        <v>144085.7</v>
      </c>
      <c r="F17" s="37">
        <f t="shared" si="1"/>
        <v>1.052696295105682</v>
      </c>
      <c r="G17" s="29">
        <f t="shared" si="2"/>
        <v>0.007218369229397478</v>
      </c>
      <c r="H17" s="60"/>
    </row>
    <row r="18" spans="1:8" s="3" customFormat="1" ht="14.25">
      <c r="A18" s="18" t="s">
        <v>44</v>
      </c>
      <c r="B18" s="68">
        <f>6000+2000</f>
        <v>8000</v>
      </c>
      <c r="C18" s="72">
        <f>5052+1696.2</f>
        <v>6748.2</v>
      </c>
      <c r="D18" s="73">
        <f t="shared" si="0"/>
        <v>1461.000000000001</v>
      </c>
      <c r="E18" s="72">
        <f>5263+2946.2</f>
        <v>8209.2</v>
      </c>
      <c r="F18" s="37">
        <f t="shared" si="1"/>
        <v>1.0261500000000001</v>
      </c>
      <c r="G18" s="29">
        <f>E19/E$6</f>
        <v>0.00025294654043657097</v>
      </c>
      <c r="H18" s="60"/>
    </row>
    <row r="19" spans="1:8" s="3" customFormat="1" ht="14.25">
      <c r="A19" s="18" t="s">
        <v>58</v>
      </c>
      <c r="B19" s="68">
        <f>5500+300</f>
        <v>5800</v>
      </c>
      <c r="C19" s="68">
        <f>52.8+4749.86</f>
        <v>4802.66</v>
      </c>
      <c r="D19" s="68">
        <f t="shared" si="0"/>
        <v>246.40000000000055</v>
      </c>
      <c r="E19" s="68">
        <f>96.8+4952.26</f>
        <v>5049.06</v>
      </c>
      <c r="F19" s="37">
        <f t="shared" si="1"/>
        <v>0.8705275862068966</v>
      </c>
      <c r="G19" s="29">
        <f>E20/E$6</f>
        <v>0.04942731384481802</v>
      </c>
      <c r="H19" s="60"/>
    </row>
    <row r="20" spans="1:8" s="3" customFormat="1" ht="14.25">
      <c r="A20" s="18" t="s">
        <v>102</v>
      </c>
      <c r="B20" s="68">
        <v>310000</v>
      </c>
      <c r="C20" s="68">
        <v>705646.24</v>
      </c>
      <c r="D20" s="68">
        <f t="shared" si="0"/>
        <v>280971.22</v>
      </c>
      <c r="E20" s="68">
        <v>986617.46</v>
      </c>
      <c r="F20" s="37">
        <f t="shared" si="1"/>
        <v>3.1826369677419355</v>
      </c>
      <c r="G20" s="29">
        <f>E20/E$6</f>
        <v>0.04942731384481802</v>
      </c>
      <c r="H20" s="60"/>
    </row>
    <row r="21" spans="1:8" s="3" customFormat="1" ht="14.25">
      <c r="A21" s="18" t="s">
        <v>103</v>
      </c>
      <c r="B21" s="68">
        <v>1600</v>
      </c>
      <c r="C21" s="68">
        <v>2768.32</v>
      </c>
      <c r="D21" s="68">
        <f t="shared" si="0"/>
        <v>0</v>
      </c>
      <c r="E21" s="68">
        <v>2768.32</v>
      </c>
      <c r="F21" s="37">
        <f t="shared" si="1"/>
        <v>1.7302000000000002</v>
      </c>
      <c r="G21" s="29">
        <f>E21/E$6</f>
        <v>0.000138686600440749</v>
      </c>
      <c r="H21" s="60"/>
    </row>
    <row r="22" spans="1:8" s="3" customFormat="1" ht="14.25">
      <c r="A22" s="18" t="s">
        <v>104</v>
      </c>
      <c r="B22" s="68">
        <v>640000</v>
      </c>
      <c r="C22" s="68">
        <v>497810.92</v>
      </c>
      <c r="D22" s="68">
        <f t="shared" si="0"/>
        <v>104948.18</v>
      </c>
      <c r="E22" s="68">
        <v>602759.1</v>
      </c>
      <c r="F22" s="37">
        <f t="shared" si="1"/>
        <v>0.9418110937499999</v>
      </c>
      <c r="G22" s="29">
        <f>E22/E$6</f>
        <v>0.03019687408382176</v>
      </c>
      <c r="H22" s="60"/>
    </row>
    <row r="23" spans="1:8" s="3" customFormat="1" ht="14.25">
      <c r="A23" s="18" t="s">
        <v>105</v>
      </c>
      <c r="B23" s="68">
        <v>270000</v>
      </c>
      <c r="C23" s="68">
        <v>319351.56</v>
      </c>
      <c r="D23" s="68">
        <f t="shared" si="0"/>
        <v>51626.72000000003</v>
      </c>
      <c r="E23" s="68">
        <v>370978.28</v>
      </c>
      <c r="F23" s="37">
        <f t="shared" si="1"/>
        <v>1.3739936296296298</v>
      </c>
      <c r="G23" s="29">
        <f t="shared" si="2"/>
        <v>0.018585176746386364</v>
      </c>
      <c r="H23" s="60"/>
    </row>
    <row r="24" spans="1:8" s="3" customFormat="1" ht="14.25">
      <c r="A24" s="18" t="s">
        <v>106</v>
      </c>
      <c r="B24" s="68">
        <v>20000</v>
      </c>
      <c r="C24" s="68">
        <v>9710</v>
      </c>
      <c r="D24" s="68">
        <f t="shared" si="0"/>
        <v>750</v>
      </c>
      <c r="E24" s="68">
        <v>10460</v>
      </c>
      <c r="F24" s="37">
        <f>E24/B24</f>
        <v>0.523</v>
      </c>
      <c r="G24" s="29">
        <f>E24/E$6</f>
        <v>0.0005240224542719897</v>
      </c>
      <c r="H24" s="60"/>
    </row>
    <row r="25" spans="1:8" s="3" customFormat="1" ht="14.25">
      <c r="A25" s="18" t="s">
        <v>107</v>
      </c>
      <c r="B25" s="68">
        <v>800</v>
      </c>
      <c r="C25" s="68">
        <v>1407.58</v>
      </c>
      <c r="D25" s="68">
        <f t="shared" si="0"/>
        <v>0</v>
      </c>
      <c r="E25" s="68">
        <v>1407.58</v>
      </c>
      <c r="F25" s="37">
        <f>E25/B25</f>
        <v>1.759475</v>
      </c>
      <c r="G25" s="29">
        <f>E25/E$6</f>
        <v>7.051658950135442E-05</v>
      </c>
      <c r="H25" s="60"/>
    </row>
    <row r="26" spans="1:8" s="3" customFormat="1" ht="14.25">
      <c r="A26" s="18" t="s">
        <v>117</v>
      </c>
      <c r="B26" s="68"/>
      <c r="C26" s="68"/>
      <c r="D26" s="68"/>
      <c r="E26" s="68"/>
      <c r="F26" s="37"/>
      <c r="G26" s="29"/>
      <c r="H26" s="60"/>
    </row>
    <row r="27" spans="1:8" s="3" customFormat="1" ht="14.25">
      <c r="A27" s="65" t="s">
        <v>79</v>
      </c>
      <c r="B27" s="68">
        <v>40700</v>
      </c>
      <c r="C27" s="68">
        <v>40700</v>
      </c>
      <c r="D27" s="68">
        <f t="shared" si="0"/>
        <v>0</v>
      </c>
      <c r="E27" s="68">
        <v>40700</v>
      </c>
      <c r="F27" s="37">
        <f>E27/B27</f>
        <v>1</v>
      </c>
      <c r="G27" s="29">
        <f>E27/E$6</f>
        <v>0.002038978383257168</v>
      </c>
      <c r="H27" s="60"/>
    </row>
    <row r="28" spans="1:9" s="3" customFormat="1" ht="14.25">
      <c r="A28" s="18" t="s">
        <v>108</v>
      </c>
      <c r="B28" s="68">
        <f>760890.08+21000</f>
        <v>781890.08</v>
      </c>
      <c r="C28" s="68">
        <v>781890.08</v>
      </c>
      <c r="D28" s="68">
        <f t="shared" si="0"/>
        <v>0</v>
      </c>
      <c r="E28" s="68">
        <v>781890.08</v>
      </c>
      <c r="F28" s="37">
        <f>E28/B28</f>
        <v>1</v>
      </c>
      <c r="G28" s="29">
        <f>E28/E$6</f>
        <v>0.039170932953396013</v>
      </c>
      <c r="H28" s="60"/>
      <c r="I28" s="106"/>
    </row>
    <row r="29" spans="1:9" s="3" customFormat="1" ht="14.25">
      <c r="A29" s="18" t="s">
        <v>109</v>
      </c>
      <c r="B29" s="68"/>
      <c r="C29" s="68"/>
      <c r="D29" s="68"/>
      <c r="E29" s="68"/>
      <c r="F29" s="37"/>
      <c r="G29" s="29"/>
      <c r="H29" s="60"/>
      <c r="I29" s="106"/>
    </row>
    <row r="30" spans="1:9" s="3" customFormat="1" ht="14.25">
      <c r="A30" s="18" t="s">
        <v>101</v>
      </c>
      <c r="B30" s="68">
        <v>170504</v>
      </c>
      <c r="C30" s="68">
        <v>170504</v>
      </c>
      <c r="D30" s="68">
        <f t="shared" si="0"/>
        <v>0</v>
      </c>
      <c r="E30" s="68">
        <v>170504</v>
      </c>
      <c r="F30" s="37">
        <f>E30/B30</f>
        <v>1</v>
      </c>
      <c r="G30" s="29">
        <f>E30/E$6</f>
        <v>0.008541866591127278</v>
      </c>
      <c r="H30" s="60"/>
      <c r="I30" s="106"/>
    </row>
    <row r="31" spans="1:7" s="4" customFormat="1" ht="14.25">
      <c r="A31" s="30" t="s">
        <v>11</v>
      </c>
      <c r="B31" s="74"/>
      <c r="C31" s="71"/>
      <c r="D31" s="68"/>
      <c r="E31" s="71"/>
      <c r="F31" s="37"/>
      <c r="G31" s="29"/>
    </row>
    <row r="32" spans="1:9" ht="12.75">
      <c r="A32" s="27" t="s">
        <v>12</v>
      </c>
      <c r="B32" s="69">
        <f>SUM(B35:B37)</f>
        <v>2926644</v>
      </c>
      <c r="C32" s="69">
        <f>SUM(C35:C37)</f>
        <v>2037243.3</v>
      </c>
      <c r="D32" s="69">
        <f>E32-C32</f>
        <v>344271.4099999999</v>
      </c>
      <c r="E32" s="69">
        <f>SUM(E35:E37)</f>
        <v>2381514.71</v>
      </c>
      <c r="F32" s="36">
        <f>E32/B32</f>
        <v>0.8137357020532733</v>
      </c>
      <c r="G32" s="28">
        <f>E32/E$6</f>
        <v>0.11930852612036764</v>
      </c>
      <c r="H32" s="61"/>
      <c r="I32" s="90"/>
    </row>
    <row r="33" spans="1:7" ht="12.75">
      <c r="A33" s="18" t="s">
        <v>9</v>
      </c>
      <c r="B33" s="68"/>
      <c r="C33" s="68"/>
      <c r="D33" s="75"/>
      <c r="E33" s="68"/>
      <c r="F33" s="29"/>
      <c r="G33" s="29"/>
    </row>
    <row r="34" spans="1:7" ht="12.75">
      <c r="A34" s="18" t="s">
        <v>13</v>
      </c>
      <c r="B34" s="68"/>
      <c r="C34" s="68"/>
      <c r="D34" s="75"/>
      <c r="E34" s="68"/>
      <c r="F34" s="29"/>
      <c r="G34" s="29"/>
    </row>
    <row r="35" spans="1:8" ht="12.75">
      <c r="A35" s="18" t="s">
        <v>14</v>
      </c>
      <c r="B35" s="68">
        <v>2876644</v>
      </c>
      <c r="C35" s="68">
        <v>1897858</v>
      </c>
      <c r="D35" s="68">
        <f>E35-C35</f>
        <v>268443</v>
      </c>
      <c r="E35" s="68">
        <v>2166301</v>
      </c>
      <c r="F35" s="37">
        <f>E35/B35</f>
        <v>0.7530653775719206</v>
      </c>
      <c r="G35" s="29">
        <f>E35/E$6</f>
        <v>0.10852680370094316</v>
      </c>
      <c r="H35" s="60"/>
    </row>
    <row r="36" spans="1:8" ht="12.75">
      <c r="A36" s="18" t="s">
        <v>15</v>
      </c>
      <c r="B36" s="68"/>
      <c r="C36" s="68"/>
      <c r="D36" s="68"/>
      <c r="E36" s="68"/>
      <c r="F36" s="37"/>
      <c r="G36" s="29"/>
      <c r="H36" s="60"/>
    </row>
    <row r="37" spans="1:8" ht="12.75">
      <c r="A37" s="18" t="s">
        <v>16</v>
      </c>
      <c r="B37" s="68">
        <v>50000</v>
      </c>
      <c r="C37" s="68">
        <v>139385.3</v>
      </c>
      <c r="D37" s="68">
        <f>E37-C37</f>
        <v>75828.41</v>
      </c>
      <c r="E37" s="68">
        <v>215213.71</v>
      </c>
      <c r="F37" s="37">
        <f>E37/B37</f>
        <v>4.3042742</v>
      </c>
      <c r="G37" s="29">
        <f>E37/E$6</f>
        <v>0.010781722419424496</v>
      </c>
      <c r="H37" s="60"/>
    </row>
    <row r="38" spans="1:8" ht="12.75">
      <c r="A38" s="27" t="s">
        <v>17</v>
      </c>
      <c r="B38" s="69">
        <v>40000</v>
      </c>
      <c r="C38" s="69">
        <v>32884.22</v>
      </c>
      <c r="D38" s="69">
        <f>E38-C38</f>
        <v>3962.4000000000015</v>
      </c>
      <c r="E38" s="69">
        <v>36846.62</v>
      </c>
      <c r="F38" s="36">
        <f>E38/B38</f>
        <v>0.9211655000000001</v>
      </c>
      <c r="G38" s="36">
        <f>E38/E$6</f>
        <v>0.001845932719314281</v>
      </c>
      <c r="H38" s="61"/>
    </row>
    <row r="39" spans="1:7" ht="12.75">
      <c r="A39" s="39"/>
      <c r="B39" s="38"/>
      <c r="C39" s="38"/>
      <c r="D39" s="38"/>
      <c r="E39" s="38"/>
      <c r="F39" s="40"/>
      <c r="G39" s="40"/>
    </row>
    <row r="40" spans="1:7" ht="12.75">
      <c r="A40" s="39"/>
      <c r="B40" s="38"/>
      <c r="C40" s="38"/>
      <c r="D40" s="38"/>
      <c r="E40" s="38"/>
      <c r="F40" s="40"/>
      <c r="G40" s="40"/>
    </row>
    <row r="41" spans="1:7" ht="16.5" customHeight="1">
      <c r="A41" s="20" t="s">
        <v>0</v>
      </c>
      <c r="B41" s="21" t="s">
        <v>1</v>
      </c>
      <c r="C41" s="59" t="s">
        <v>36</v>
      </c>
      <c r="D41" s="93"/>
      <c r="E41" s="22"/>
      <c r="F41" s="23" t="s">
        <v>2</v>
      </c>
      <c r="G41" s="113" t="s">
        <v>3</v>
      </c>
    </row>
    <row r="42" spans="1:7" ht="16.5" customHeight="1">
      <c r="A42" s="24"/>
      <c r="B42" s="17" t="s">
        <v>4</v>
      </c>
      <c r="C42" s="17" t="s">
        <v>112</v>
      </c>
      <c r="D42" s="25" t="s">
        <v>125</v>
      </c>
      <c r="E42" s="17" t="s">
        <v>126</v>
      </c>
      <c r="F42" s="26" t="s">
        <v>5</v>
      </c>
      <c r="G42" s="24" t="s">
        <v>6</v>
      </c>
    </row>
    <row r="43" spans="1:9" ht="12.75">
      <c r="A43" s="27" t="s">
        <v>18</v>
      </c>
      <c r="B43" s="76">
        <f>SUM(B45:B47)</f>
        <v>785755.75</v>
      </c>
      <c r="C43" s="76">
        <f>SUM(C45:C47)</f>
        <v>555339.33</v>
      </c>
      <c r="D43" s="77">
        <f>E43-C43</f>
        <v>57791.78000000003</v>
      </c>
      <c r="E43" s="76">
        <f>SUM(E45:E47)</f>
        <v>613131.11</v>
      </c>
      <c r="F43" s="41">
        <f>E43/B43</f>
        <v>0.7803075064993161</v>
      </c>
      <c r="G43" s="42">
        <f>E43/E$6</f>
        <v>0.030716488437161495</v>
      </c>
      <c r="I43" s="90"/>
    </row>
    <row r="44" spans="1:7" ht="12.75">
      <c r="A44" s="18" t="s">
        <v>9</v>
      </c>
      <c r="B44" s="68"/>
      <c r="C44" s="68"/>
      <c r="D44" s="68"/>
      <c r="E44" s="68"/>
      <c r="F44" s="29"/>
      <c r="G44" s="29"/>
    </row>
    <row r="45" spans="1:7" ht="12.75">
      <c r="A45" s="18" t="s">
        <v>32</v>
      </c>
      <c r="B45" s="68">
        <v>13000</v>
      </c>
      <c r="C45" s="68">
        <v>9645.93</v>
      </c>
      <c r="D45" s="68">
        <f>E45-C45</f>
        <v>0</v>
      </c>
      <c r="E45" s="68">
        <v>9645.93</v>
      </c>
      <c r="F45" s="37">
        <f>E45/B45</f>
        <v>0.7419946153846154</v>
      </c>
      <c r="G45" s="29">
        <f>E45/E$6</f>
        <v>0.0004832393797644181</v>
      </c>
    </row>
    <row r="46" spans="1:7" s="3" customFormat="1" ht="14.25">
      <c r="A46" s="18" t="s">
        <v>45</v>
      </c>
      <c r="B46" s="68">
        <f>671983.75-17802-4926-40500</f>
        <v>608755.75</v>
      </c>
      <c r="C46" s="68">
        <f>417788.75-9030-20250</f>
        <v>388508.75</v>
      </c>
      <c r="D46" s="68">
        <f>E46-C46</f>
        <v>35096.04999999999</v>
      </c>
      <c r="E46" s="68">
        <f>475327.8-11223-40500</f>
        <v>423604.8</v>
      </c>
      <c r="F46" s="37">
        <f>E46/B46</f>
        <v>0.6958534683245291</v>
      </c>
      <c r="G46" s="29">
        <f>E46/E$6</f>
        <v>0.021221646934741423</v>
      </c>
    </row>
    <row r="47" spans="1:8" s="3" customFormat="1" ht="15">
      <c r="A47" s="18" t="s">
        <v>60</v>
      </c>
      <c r="B47" s="68">
        <f>216195-52195</f>
        <v>164000</v>
      </c>
      <c r="C47" s="68">
        <f>190740.65-33556</f>
        <v>157184.65</v>
      </c>
      <c r="D47" s="68">
        <f>E47-C47</f>
        <v>22695.73000000001</v>
      </c>
      <c r="E47" s="68">
        <f>232075.38-52195</f>
        <v>179880.38</v>
      </c>
      <c r="F47" s="37">
        <f>E47/B47</f>
        <v>1.0968315853658537</v>
      </c>
      <c r="G47" s="29">
        <f>E47/E$6</f>
        <v>0.009011602122655652</v>
      </c>
      <c r="H47" s="111"/>
    </row>
    <row r="48" spans="1:7" ht="12.75">
      <c r="A48" s="30" t="s">
        <v>19</v>
      </c>
      <c r="B48" s="71"/>
      <c r="C48" s="68"/>
      <c r="D48" s="78"/>
      <c r="E48" s="71"/>
      <c r="F48" s="29"/>
      <c r="G48" s="29"/>
    </row>
    <row r="49" spans="1:9" ht="12.75">
      <c r="A49" s="27" t="s">
        <v>20</v>
      </c>
      <c r="B49" s="69">
        <f>SUM(B52:B77)</f>
        <v>15289221</v>
      </c>
      <c r="C49" s="69">
        <f>SUM(C52:C77)</f>
        <v>5640189.630000001</v>
      </c>
      <c r="D49" s="70">
        <f>E49-C49</f>
        <v>337863.0199999986</v>
      </c>
      <c r="E49" s="69">
        <f>SUM(E52:E77)</f>
        <v>5978052.649999999</v>
      </c>
      <c r="F49" s="41">
        <f>E49/B49</f>
        <v>0.3909978572485805</v>
      </c>
      <c r="G49" s="63">
        <f>E49/E$6</f>
        <v>0.29948698101531274</v>
      </c>
      <c r="H49" s="64"/>
      <c r="I49" s="90"/>
    </row>
    <row r="50" spans="1:7" s="3" customFormat="1" ht="14.25">
      <c r="A50" s="18" t="s">
        <v>9</v>
      </c>
      <c r="B50" s="68"/>
      <c r="C50" s="68"/>
      <c r="D50" s="75"/>
      <c r="E50" s="68"/>
      <c r="F50" s="29"/>
      <c r="G50" s="29"/>
    </row>
    <row r="51" spans="1:7" s="3" customFormat="1" ht="14.25">
      <c r="A51" s="18" t="s">
        <v>46</v>
      </c>
      <c r="B51" s="68"/>
      <c r="C51" s="68"/>
      <c r="D51" s="75"/>
      <c r="E51" s="68"/>
      <c r="F51" s="29"/>
      <c r="G51" s="29"/>
    </row>
    <row r="52" spans="1:7" s="3" customFormat="1" ht="14.25">
      <c r="A52" s="18" t="s">
        <v>29</v>
      </c>
      <c r="B52" s="68">
        <v>908223</v>
      </c>
      <c r="C52" s="68">
        <v>1030022.29</v>
      </c>
      <c r="D52" s="68">
        <f aca="true" t="shared" si="3" ref="D52:D70">E52-C52</f>
        <v>41188.08999999985</v>
      </c>
      <c r="E52" s="68">
        <v>1071210.38</v>
      </c>
      <c r="F52" s="37">
        <f aca="true" t="shared" si="4" ref="F52:F62">E52/B52</f>
        <v>1.1794574460237188</v>
      </c>
      <c r="G52" s="29">
        <f aca="true" t="shared" si="5" ref="G52:G68">E52/E$6</f>
        <v>0.053665228715987626</v>
      </c>
    </row>
    <row r="53" spans="1:7" s="3" customFormat="1" ht="14.25">
      <c r="A53" s="65" t="s">
        <v>80</v>
      </c>
      <c r="B53" s="68"/>
      <c r="C53" s="68"/>
      <c r="D53" s="68"/>
      <c r="E53" s="68"/>
      <c r="F53" s="37"/>
      <c r="G53" s="29"/>
    </row>
    <row r="54" spans="1:7" s="3" customFormat="1" ht="14.25">
      <c r="A54" s="18" t="s">
        <v>78</v>
      </c>
      <c r="B54" s="68">
        <v>431249</v>
      </c>
      <c r="C54" s="68">
        <v>431249</v>
      </c>
      <c r="D54" s="68">
        <f t="shared" si="3"/>
        <v>0</v>
      </c>
      <c r="E54" s="68">
        <v>431249</v>
      </c>
      <c r="F54" s="37">
        <f t="shared" si="4"/>
        <v>1</v>
      </c>
      <c r="G54" s="29">
        <f t="shared" si="5"/>
        <v>0.021604604147451363</v>
      </c>
    </row>
    <row r="55" spans="1:8" s="3" customFormat="1" ht="14.25">
      <c r="A55" s="18" t="s">
        <v>47</v>
      </c>
      <c r="B55" s="68">
        <v>1200000</v>
      </c>
      <c r="C55" s="68">
        <v>1445639.9</v>
      </c>
      <c r="D55" s="68">
        <f t="shared" si="3"/>
        <v>96391.48999999999</v>
      </c>
      <c r="E55" s="68">
        <v>1542031.39</v>
      </c>
      <c r="F55" s="37">
        <f t="shared" si="4"/>
        <v>1.2850261583333333</v>
      </c>
      <c r="G55" s="29">
        <f t="shared" si="5"/>
        <v>0.07725230148683054</v>
      </c>
      <c r="H55" s="60"/>
    </row>
    <row r="56" spans="1:8" s="3" customFormat="1" ht="14.25">
      <c r="A56" s="18" t="s">
        <v>48</v>
      </c>
      <c r="B56" s="68">
        <v>200000</v>
      </c>
      <c r="C56" s="68">
        <v>140686.91</v>
      </c>
      <c r="D56" s="68">
        <f t="shared" si="3"/>
        <v>1424.6999999999825</v>
      </c>
      <c r="E56" s="68">
        <v>142111.61</v>
      </c>
      <c r="F56" s="37">
        <f t="shared" si="4"/>
        <v>0.7105580499999999</v>
      </c>
      <c r="G56" s="29">
        <f t="shared" si="5"/>
        <v>0.007119471764124648</v>
      </c>
      <c r="H56" s="60"/>
    </row>
    <row r="57" spans="1:8" s="3" customFormat="1" ht="14.25">
      <c r="A57" s="18" t="s">
        <v>49</v>
      </c>
      <c r="B57" s="68">
        <v>800000</v>
      </c>
      <c r="C57" s="68">
        <v>662715.88</v>
      </c>
      <c r="D57" s="68">
        <f t="shared" si="3"/>
        <v>1044.5999999999767</v>
      </c>
      <c r="E57" s="68">
        <v>663760.48</v>
      </c>
      <c r="F57" s="37">
        <f t="shared" si="4"/>
        <v>0.8297006</v>
      </c>
      <c r="G57" s="29">
        <f t="shared" si="5"/>
        <v>0.03325290590615238</v>
      </c>
      <c r="H57" s="60"/>
    </row>
    <row r="58" spans="1:8" s="3" customFormat="1" ht="14.25">
      <c r="A58" s="18" t="s">
        <v>76</v>
      </c>
      <c r="B58" s="68">
        <v>815000</v>
      </c>
      <c r="C58" s="68">
        <v>535256</v>
      </c>
      <c r="D58" s="68">
        <f t="shared" si="3"/>
        <v>68772.88</v>
      </c>
      <c r="E58" s="68">
        <v>604028.88</v>
      </c>
      <c r="F58" s="37">
        <f>E58/B58</f>
        <v>0.7411397300613497</v>
      </c>
      <c r="G58" s="29">
        <f>E58/E$6</f>
        <v>0.030260487203514447</v>
      </c>
      <c r="H58" s="60"/>
    </row>
    <row r="59" spans="1:8" s="3" customFormat="1" ht="14.25">
      <c r="A59" s="18" t="s">
        <v>61</v>
      </c>
      <c r="B59" s="68">
        <v>0</v>
      </c>
      <c r="C59" s="68">
        <v>0</v>
      </c>
      <c r="D59" s="68">
        <f t="shared" si="3"/>
        <v>0</v>
      </c>
      <c r="E59" s="68">
        <v>0</v>
      </c>
      <c r="F59" s="37">
        <v>0</v>
      </c>
      <c r="G59" s="29">
        <f>E59/E$6</f>
        <v>0</v>
      </c>
      <c r="H59" s="60"/>
    </row>
    <row r="60" spans="1:8" s="3" customFormat="1" ht="14.25">
      <c r="A60" s="18" t="s">
        <v>62</v>
      </c>
      <c r="B60" s="68">
        <v>10242359</v>
      </c>
      <c r="C60" s="68">
        <v>722454.5</v>
      </c>
      <c r="D60" s="68">
        <f t="shared" si="3"/>
        <v>58111.619999999995</v>
      </c>
      <c r="E60" s="68">
        <v>780566.12</v>
      </c>
      <c r="F60" s="37">
        <f t="shared" si="4"/>
        <v>0.07620960366649909</v>
      </c>
      <c r="G60" s="29">
        <f t="shared" si="5"/>
        <v>0.0391046055376639</v>
      </c>
      <c r="H60" s="60"/>
    </row>
    <row r="61" spans="1:8" s="3" customFormat="1" ht="14.25">
      <c r="A61" s="65" t="s">
        <v>63</v>
      </c>
      <c r="B61" s="68">
        <v>33000</v>
      </c>
      <c r="C61" s="68">
        <v>19585.16</v>
      </c>
      <c r="D61" s="68">
        <f t="shared" si="3"/>
        <v>1422.0999999999985</v>
      </c>
      <c r="E61" s="68">
        <v>21007.26</v>
      </c>
      <c r="F61" s="37">
        <f t="shared" si="4"/>
        <v>0.6365836363636364</v>
      </c>
      <c r="G61" s="29">
        <f t="shared" si="5"/>
        <v>0.0010524164381194834</v>
      </c>
      <c r="H61" s="60"/>
    </row>
    <row r="62" spans="1:8" s="3" customFormat="1" ht="14.25">
      <c r="A62" s="65" t="s">
        <v>77</v>
      </c>
      <c r="B62" s="68">
        <v>60</v>
      </c>
      <c r="C62" s="68">
        <v>318.53</v>
      </c>
      <c r="D62" s="68">
        <f t="shared" si="3"/>
        <v>154.36</v>
      </c>
      <c r="E62" s="68">
        <v>472.89</v>
      </c>
      <c r="F62" s="37">
        <f t="shared" si="4"/>
        <v>7.8815</v>
      </c>
      <c r="G62" s="29">
        <f t="shared" si="5"/>
        <v>2.3690724512493418E-05</v>
      </c>
      <c r="H62" s="60"/>
    </row>
    <row r="63" spans="1:8" s="3" customFormat="1" ht="14.25">
      <c r="A63" s="18" t="s">
        <v>64</v>
      </c>
      <c r="B63" s="68">
        <f>1021655.83-13000-781890.08-40700-600-140-170-44505.75</f>
        <v>140650</v>
      </c>
      <c r="C63" s="68">
        <f>1105664.5-9645.93-896739.25-1950.09-12-358.48-58490.59</f>
        <v>138468.16000000006</v>
      </c>
      <c r="D63" s="68">
        <f t="shared" si="3"/>
        <v>6208.150000000023</v>
      </c>
      <c r="E63" s="68">
        <f>1120647.04-9645.93-905487.64-1976.09-12-358.48-58490.59</f>
        <v>144676.31000000008</v>
      </c>
      <c r="F63" s="37">
        <f>E63/B63</f>
        <v>1.028626448631355</v>
      </c>
      <c r="G63" s="29">
        <f t="shared" si="5"/>
        <v>0.007247957460919239</v>
      </c>
      <c r="H63" s="60"/>
    </row>
    <row r="64" spans="1:8" s="3" customFormat="1" ht="14.25">
      <c r="A64" s="18" t="s">
        <v>65</v>
      </c>
      <c r="B64" s="68">
        <f>1300+1200</f>
        <v>2500</v>
      </c>
      <c r="C64" s="68">
        <v>2924.96</v>
      </c>
      <c r="D64" s="68">
        <f t="shared" si="3"/>
        <v>921.9899999999998</v>
      </c>
      <c r="E64" s="68">
        <f>1650.22+2196.73</f>
        <v>3846.95</v>
      </c>
      <c r="F64" s="37">
        <f>E64/B64</f>
        <v>1.53878</v>
      </c>
      <c r="G64" s="29">
        <f t="shared" si="5"/>
        <v>0.0001927235354169819</v>
      </c>
      <c r="H64" s="60"/>
    </row>
    <row r="65" spans="1:8" s="3" customFormat="1" ht="14.25">
      <c r="A65" s="18" t="s">
        <v>75</v>
      </c>
      <c r="B65" s="68">
        <v>0</v>
      </c>
      <c r="C65" s="68">
        <v>0</v>
      </c>
      <c r="D65" s="68">
        <f t="shared" si="3"/>
        <v>0</v>
      </c>
      <c r="E65" s="68">
        <v>0</v>
      </c>
      <c r="F65" s="37">
        <v>0</v>
      </c>
      <c r="G65" s="29"/>
      <c r="H65" s="60"/>
    </row>
    <row r="66" spans="1:8" s="3" customFormat="1" ht="14.25">
      <c r="A66" s="18" t="s">
        <v>95</v>
      </c>
      <c r="B66" s="68">
        <f>322530-600-600-150</f>
        <v>321180</v>
      </c>
      <c r="C66" s="68">
        <f>271957.7-423.84-199.49-230.68</f>
        <v>271103.69</v>
      </c>
      <c r="D66" s="68">
        <f t="shared" si="3"/>
        <v>32302.02000000002</v>
      </c>
      <c r="E66" s="68">
        <f>304876.01-822-199.49-448.81</f>
        <v>303405.71</v>
      </c>
      <c r="F66" s="110">
        <f>E66/B66</f>
        <v>0.9446594121676319</v>
      </c>
      <c r="G66" s="29">
        <f t="shared" si="5"/>
        <v>0.015199943096972807</v>
      </c>
      <c r="H66" s="60"/>
    </row>
    <row r="67" spans="1:8" s="3" customFormat="1" ht="14.25">
      <c r="A67" s="18" t="s">
        <v>96</v>
      </c>
      <c r="B67" s="68"/>
      <c r="C67" s="68"/>
      <c r="D67" s="68"/>
      <c r="E67" s="68"/>
      <c r="F67" s="37"/>
      <c r="G67" s="29"/>
      <c r="H67" s="60"/>
    </row>
    <row r="68" spans="1:8" s="8" customFormat="1" ht="14.25">
      <c r="A68" s="32" t="s">
        <v>34</v>
      </c>
      <c r="B68" s="79">
        <v>65000</v>
      </c>
      <c r="C68" s="79">
        <v>19899.64</v>
      </c>
      <c r="D68" s="73">
        <f t="shared" si="3"/>
        <v>2763.5499999999993</v>
      </c>
      <c r="E68" s="79">
        <v>22663.19</v>
      </c>
      <c r="F68" s="43">
        <f>E68/B68</f>
        <v>0.34866446153846153</v>
      </c>
      <c r="G68" s="43">
        <f t="shared" si="5"/>
        <v>0.0011353748035786244</v>
      </c>
      <c r="H68" s="62"/>
    </row>
    <row r="69" spans="1:8" s="3" customFormat="1" ht="14.25">
      <c r="A69" s="18" t="s">
        <v>97</v>
      </c>
      <c r="B69" s="68">
        <v>10000</v>
      </c>
      <c r="C69" s="68">
        <v>8380.26</v>
      </c>
      <c r="D69" s="68">
        <f t="shared" si="3"/>
        <v>921.4099999999999</v>
      </c>
      <c r="E69" s="68">
        <v>9301.67</v>
      </c>
      <c r="F69" s="29">
        <f>E69/B69</f>
        <v>0.930167</v>
      </c>
      <c r="G69" s="29">
        <f>E69/E$6</f>
        <v>0.0004659927287024988</v>
      </c>
      <c r="H69" s="60"/>
    </row>
    <row r="70" spans="1:8" s="3" customFormat="1" ht="14.25">
      <c r="A70" s="18" t="s">
        <v>98</v>
      </c>
      <c r="B70" s="68">
        <v>20000</v>
      </c>
      <c r="C70" s="68">
        <v>24865.1</v>
      </c>
      <c r="D70" s="68">
        <f t="shared" si="3"/>
        <v>3867.300000000003</v>
      </c>
      <c r="E70" s="68">
        <v>28732.4</v>
      </c>
      <c r="F70" s="29">
        <f>E70/B70</f>
        <v>1.43662</v>
      </c>
      <c r="G70" s="29">
        <f>E70/E$6</f>
        <v>0.001439428562631407</v>
      </c>
      <c r="H70" s="60"/>
    </row>
    <row r="71" spans="1:8" s="3" customFormat="1" ht="14.25">
      <c r="A71" s="18" t="s">
        <v>99</v>
      </c>
      <c r="B71" s="68">
        <v>0</v>
      </c>
      <c r="C71" s="68">
        <v>0</v>
      </c>
      <c r="D71" s="68">
        <f>E71-C71</f>
        <v>0</v>
      </c>
      <c r="E71" s="68">
        <v>0</v>
      </c>
      <c r="F71" s="29">
        <v>0</v>
      </c>
      <c r="G71" s="29">
        <f>E71/E$6</f>
        <v>0</v>
      </c>
      <c r="H71" s="60"/>
    </row>
    <row r="72" spans="1:8" s="3" customFormat="1" ht="14.25">
      <c r="A72" s="18" t="s">
        <v>100</v>
      </c>
      <c r="B72" s="12">
        <v>100000</v>
      </c>
      <c r="C72" s="73">
        <v>112470.48</v>
      </c>
      <c r="D72" s="12">
        <f>E72-C72</f>
        <v>13620.37000000001</v>
      </c>
      <c r="E72" s="73">
        <v>126090.85</v>
      </c>
      <c r="F72" s="40">
        <f>E72/B72</f>
        <v>1.2609085</v>
      </c>
      <c r="G72" s="37">
        <f>E72/E$6</f>
        <v>0.0063168677512659</v>
      </c>
      <c r="H72" s="60"/>
    </row>
    <row r="73" spans="1:8" s="3" customFormat="1" ht="14.25">
      <c r="A73" s="18" t="s">
        <v>118</v>
      </c>
      <c r="B73" s="68"/>
      <c r="C73" s="68"/>
      <c r="D73" s="12"/>
      <c r="E73" s="73"/>
      <c r="F73" s="29"/>
      <c r="G73" s="29"/>
      <c r="H73" s="60"/>
    </row>
    <row r="74" spans="1:8" s="3" customFormat="1" ht="14.25">
      <c r="A74" s="18" t="s">
        <v>119</v>
      </c>
      <c r="B74" s="68">
        <v>0</v>
      </c>
      <c r="C74" s="68">
        <v>105231.74</v>
      </c>
      <c r="D74" s="12">
        <f>E74-C74</f>
        <v>8748.39</v>
      </c>
      <c r="E74" s="73">
        <v>113980.13</v>
      </c>
      <c r="F74" s="29"/>
      <c r="G74" s="37">
        <f>E74/E$6</f>
        <v>0.005710147940806925</v>
      </c>
      <c r="H74" s="60"/>
    </row>
    <row r="75" spans="1:8" s="3" customFormat="1" ht="14.25">
      <c r="A75" s="18" t="s">
        <v>120</v>
      </c>
      <c r="B75" s="68"/>
      <c r="C75" s="68"/>
      <c r="D75" s="12"/>
      <c r="E75" s="73"/>
      <c r="F75" s="29"/>
      <c r="G75" s="29"/>
      <c r="H75" s="60"/>
    </row>
    <row r="76" spans="1:8" s="3" customFormat="1" ht="14.25">
      <c r="A76" s="24" t="s">
        <v>121</v>
      </c>
      <c r="B76" s="80">
        <v>0</v>
      </c>
      <c r="C76" s="80">
        <v>-31082.57</v>
      </c>
      <c r="D76" s="86">
        <f>E76-C76</f>
        <v>0</v>
      </c>
      <c r="E76" s="67">
        <v>-31082.57</v>
      </c>
      <c r="F76" s="26"/>
      <c r="G76" s="112">
        <f>E76/E$6</f>
        <v>-0.0015571667893385197</v>
      </c>
      <c r="H76" s="60"/>
    </row>
    <row r="77" spans="1:8" s="8" customFormat="1" ht="14.25">
      <c r="A77" s="44"/>
      <c r="B77" s="12"/>
      <c r="C77" s="12"/>
      <c r="D77" s="12"/>
      <c r="E77" s="12"/>
      <c r="F77" s="40"/>
      <c r="G77" s="40"/>
      <c r="H77" s="115"/>
    </row>
    <row r="78" spans="1:7" ht="16.5" customHeight="1">
      <c r="A78" s="20" t="s">
        <v>0</v>
      </c>
      <c r="B78" s="21" t="s">
        <v>1</v>
      </c>
      <c r="C78" s="59" t="s">
        <v>36</v>
      </c>
      <c r="D78" s="93"/>
      <c r="E78" s="22"/>
      <c r="F78" s="23" t="s">
        <v>2</v>
      </c>
      <c r="G78" s="21" t="s">
        <v>3</v>
      </c>
    </row>
    <row r="79" spans="1:8" ht="16.5" customHeight="1">
      <c r="A79" s="24"/>
      <c r="B79" s="17" t="s">
        <v>4</v>
      </c>
      <c r="C79" s="17" t="s">
        <v>112</v>
      </c>
      <c r="D79" s="25" t="s">
        <v>125</v>
      </c>
      <c r="E79" s="17" t="s">
        <v>126</v>
      </c>
      <c r="F79" s="26" t="s">
        <v>5</v>
      </c>
      <c r="G79" s="17" t="s">
        <v>6</v>
      </c>
      <c r="H79" s="6"/>
    </row>
    <row r="80" spans="1:9" ht="13.5" customHeight="1">
      <c r="A80" s="27" t="s">
        <v>56</v>
      </c>
      <c r="B80" s="69">
        <f>SUM(B81:B85)</f>
        <v>1995792</v>
      </c>
      <c r="C80" s="69">
        <f>SUM(C81:C85)</f>
        <v>1360655</v>
      </c>
      <c r="D80" s="76">
        <f aca="true" t="shared" si="6" ref="D80:D87">E80-C80</f>
        <v>209186</v>
      </c>
      <c r="E80" s="69">
        <f>SUM(E81:E85)</f>
        <v>1569841</v>
      </c>
      <c r="F80" s="28">
        <f>E80/B80</f>
        <v>0.7865754547568083</v>
      </c>
      <c r="G80" s="28">
        <f aca="true" t="shared" si="7" ref="G80:G86">E80/E$6</f>
        <v>0.0786455003476859</v>
      </c>
      <c r="I80" s="90"/>
    </row>
    <row r="81" spans="1:8" ht="12.75">
      <c r="A81" s="18" t="s">
        <v>21</v>
      </c>
      <c r="B81" s="68">
        <v>482497</v>
      </c>
      <c r="C81" s="95">
        <v>334294</v>
      </c>
      <c r="D81" s="68">
        <f t="shared" si="6"/>
        <v>69069</v>
      </c>
      <c r="E81" s="95">
        <v>403363</v>
      </c>
      <c r="F81" s="29">
        <f aca="true" t="shared" si="8" ref="F81:F88">E81/B81</f>
        <v>0.835990690097555</v>
      </c>
      <c r="G81" s="29">
        <f t="shared" si="7"/>
        <v>0.020207578319551868</v>
      </c>
      <c r="H81" s="94"/>
    </row>
    <row r="82" spans="1:8" ht="12.75">
      <c r="A82" s="18" t="s">
        <v>22</v>
      </c>
      <c r="B82" s="68">
        <v>1480169</v>
      </c>
      <c r="C82" s="68">
        <v>1003801</v>
      </c>
      <c r="D82" s="68">
        <f t="shared" si="6"/>
        <v>125117</v>
      </c>
      <c r="E82" s="68">
        <v>1128918</v>
      </c>
      <c r="F82" s="29">
        <f t="shared" si="8"/>
        <v>0.7626953408698601</v>
      </c>
      <c r="G82" s="29">
        <f t="shared" si="7"/>
        <v>0.056556250576656406</v>
      </c>
      <c r="H82" s="60"/>
    </row>
    <row r="83" spans="1:8" ht="12.75">
      <c r="A83" s="18" t="s">
        <v>74</v>
      </c>
      <c r="B83" s="68">
        <v>4926</v>
      </c>
      <c r="C83" s="68">
        <v>0</v>
      </c>
      <c r="D83" s="68">
        <f t="shared" si="6"/>
        <v>0</v>
      </c>
      <c r="E83" s="68">
        <v>0</v>
      </c>
      <c r="F83" s="29">
        <v>0</v>
      </c>
      <c r="G83" s="29">
        <f t="shared" si="7"/>
        <v>0</v>
      </c>
      <c r="H83" s="60"/>
    </row>
    <row r="84" spans="1:8" ht="12.75">
      <c r="A84" s="65" t="s">
        <v>129</v>
      </c>
      <c r="B84" s="68">
        <v>0</v>
      </c>
      <c r="C84" s="68">
        <v>0</v>
      </c>
      <c r="D84" s="68">
        <f t="shared" si="6"/>
        <v>15000</v>
      </c>
      <c r="E84" s="68">
        <v>15000</v>
      </c>
      <c r="F84" s="29">
        <v>0</v>
      </c>
      <c r="G84" s="29">
        <f t="shared" si="7"/>
        <v>0.0007514662346156639</v>
      </c>
      <c r="H84" s="60"/>
    </row>
    <row r="85" spans="1:8" ht="12.75">
      <c r="A85" s="18" t="s">
        <v>128</v>
      </c>
      <c r="B85" s="68">
        <v>28200</v>
      </c>
      <c r="C85" s="68">
        <v>22560</v>
      </c>
      <c r="D85" s="68">
        <f t="shared" si="6"/>
        <v>0</v>
      </c>
      <c r="E85" s="68">
        <v>22560</v>
      </c>
      <c r="F85" s="29">
        <f t="shared" si="8"/>
        <v>0.8</v>
      </c>
      <c r="G85" s="29">
        <f>E85/E$6</f>
        <v>0.0011302052168619585</v>
      </c>
      <c r="H85" s="60"/>
    </row>
    <row r="86" spans="1:8" ht="12.75">
      <c r="A86" s="27" t="s">
        <v>35</v>
      </c>
      <c r="B86" s="69">
        <v>2116969</v>
      </c>
      <c r="C86" s="69">
        <v>1464183</v>
      </c>
      <c r="D86" s="76">
        <f t="shared" si="6"/>
        <v>321804</v>
      </c>
      <c r="E86" s="69">
        <v>1785987</v>
      </c>
      <c r="F86" s="105">
        <f t="shared" si="8"/>
        <v>0.8436528829661653</v>
      </c>
      <c r="G86" s="28">
        <f t="shared" si="7"/>
        <v>0.08947392839750172</v>
      </c>
      <c r="H86" s="60"/>
    </row>
    <row r="87" spans="1:9" ht="12.75">
      <c r="A87" s="24" t="s">
        <v>23</v>
      </c>
      <c r="B87" s="80">
        <v>36732547.17</v>
      </c>
      <c r="C87" s="80">
        <v>15764147.45</v>
      </c>
      <c r="D87" s="80">
        <f t="shared" si="6"/>
        <v>2306648.1000000015</v>
      </c>
      <c r="E87" s="80">
        <v>18070795.55</v>
      </c>
      <c r="F87" s="26">
        <f t="shared" si="8"/>
        <v>0.4919559611906979</v>
      </c>
      <c r="G87" s="26">
        <f aca="true" t="shared" si="9" ref="G87:G109">E87/E$87</f>
        <v>1</v>
      </c>
      <c r="I87" s="101"/>
    </row>
    <row r="88" spans="1:11" ht="12.75">
      <c r="A88" s="30" t="s">
        <v>33</v>
      </c>
      <c r="B88" s="71">
        <f>SUM(B89:B188)</f>
        <v>14182025.83</v>
      </c>
      <c r="C88" s="71">
        <f>SUM(C89:C188)</f>
        <v>2630389.82</v>
      </c>
      <c r="D88" s="71">
        <f>SUM(D89:D188)</f>
        <v>660397.41</v>
      </c>
      <c r="E88" s="71">
        <f>SUM(E89:E188)</f>
        <v>3290787.2300000004</v>
      </c>
      <c r="F88" s="31">
        <f t="shared" si="8"/>
        <v>0.23203929180828467</v>
      </c>
      <c r="G88" s="31">
        <f t="shared" si="9"/>
        <v>0.1821052770418843</v>
      </c>
      <c r="H88" s="90"/>
      <c r="I88" s="90"/>
      <c r="J88" s="2"/>
      <c r="K88" s="90"/>
    </row>
    <row r="89" spans="1:11" ht="12.75">
      <c r="A89" s="102" t="s">
        <v>73</v>
      </c>
      <c r="B89" s="73">
        <f>500000+4270-500000</f>
        <v>4270</v>
      </c>
      <c r="C89" s="95">
        <v>4270</v>
      </c>
      <c r="D89" s="68">
        <f aca="true" t="shared" si="10" ref="D89:D123">E89-C89</f>
        <v>0</v>
      </c>
      <c r="E89" s="95">
        <v>4270</v>
      </c>
      <c r="F89" s="29">
        <f aca="true" t="shared" si="11" ref="F89:F123">E89/B89</f>
        <v>1</v>
      </c>
      <c r="G89" s="29">
        <f>E89/E$87</f>
        <v>0.00023629286204834518</v>
      </c>
      <c r="K89" s="90"/>
    </row>
    <row r="90" spans="1:7" ht="12.75">
      <c r="A90" s="102" t="s">
        <v>84</v>
      </c>
      <c r="B90" s="73">
        <v>14000</v>
      </c>
      <c r="C90" s="95">
        <v>13000</v>
      </c>
      <c r="D90" s="68">
        <f t="shared" si="10"/>
        <v>0</v>
      </c>
      <c r="E90" s="95">
        <v>13000</v>
      </c>
      <c r="F90" s="29">
        <f>E90/B90</f>
        <v>0.9285714285714286</v>
      </c>
      <c r="G90" s="29">
        <f>E90/E$87</f>
        <v>0.0007193927884375849</v>
      </c>
    </row>
    <row r="91" spans="1:7" ht="12.75">
      <c r="A91" s="102" t="s">
        <v>85</v>
      </c>
      <c r="B91" s="73">
        <f>500000-469500</f>
        <v>30500</v>
      </c>
      <c r="C91" s="95">
        <v>53.2</v>
      </c>
      <c r="D91" s="68">
        <f t="shared" si="10"/>
        <v>0</v>
      </c>
      <c r="E91" s="95">
        <v>53.2</v>
      </c>
      <c r="F91" s="29">
        <f t="shared" si="11"/>
        <v>0.0017442622950819672</v>
      </c>
      <c r="G91" s="29">
        <f>E91/E$87</f>
        <v>2.9439766419138088E-06</v>
      </c>
    </row>
    <row r="92" spans="1:7" ht="12.75">
      <c r="A92" s="102" t="s">
        <v>86</v>
      </c>
      <c r="B92" s="73"/>
      <c r="C92" s="95"/>
      <c r="D92" s="68"/>
      <c r="E92" s="95"/>
      <c r="F92" s="29"/>
      <c r="G92" s="29"/>
    </row>
    <row r="93" spans="1:7" ht="12.75">
      <c r="A93" s="102" t="s">
        <v>66</v>
      </c>
      <c r="B93" s="73">
        <f>1500000-1278960</f>
        <v>221040</v>
      </c>
      <c r="C93" s="95">
        <v>0</v>
      </c>
      <c r="D93" s="68">
        <f t="shared" si="10"/>
        <v>0</v>
      </c>
      <c r="E93" s="95">
        <v>0</v>
      </c>
      <c r="F93" s="29">
        <f t="shared" si="11"/>
        <v>0</v>
      </c>
      <c r="G93" s="29">
        <f t="shared" si="9"/>
        <v>0</v>
      </c>
    </row>
    <row r="94" spans="1:7" ht="12.75">
      <c r="A94" s="102" t="s">
        <v>113</v>
      </c>
      <c r="B94" s="73">
        <v>140300</v>
      </c>
      <c r="C94" s="95">
        <v>98820</v>
      </c>
      <c r="D94" s="68">
        <f t="shared" si="10"/>
        <v>0</v>
      </c>
      <c r="E94" s="95">
        <v>98820</v>
      </c>
      <c r="F94" s="29">
        <f t="shared" si="11"/>
        <v>0.7043478260869566</v>
      </c>
      <c r="G94" s="29">
        <f t="shared" si="9"/>
        <v>0.0054684919502617025</v>
      </c>
    </row>
    <row r="95" spans="1:7" ht="12.75">
      <c r="A95" s="102" t="s">
        <v>114</v>
      </c>
      <c r="B95" s="73">
        <v>28000</v>
      </c>
      <c r="C95" s="95">
        <v>0</v>
      </c>
      <c r="D95" s="68">
        <f t="shared" si="10"/>
        <v>0</v>
      </c>
      <c r="E95" s="95">
        <v>0</v>
      </c>
      <c r="F95" s="29">
        <f t="shared" si="11"/>
        <v>0</v>
      </c>
      <c r="G95" s="29">
        <f t="shared" si="9"/>
        <v>0</v>
      </c>
    </row>
    <row r="96" spans="1:7" ht="12.75">
      <c r="A96" s="102" t="s">
        <v>87</v>
      </c>
      <c r="B96" s="73">
        <v>5000</v>
      </c>
      <c r="C96" s="95">
        <v>5000</v>
      </c>
      <c r="D96" s="68">
        <f t="shared" si="10"/>
        <v>0</v>
      </c>
      <c r="E96" s="95">
        <v>5000</v>
      </c>
      <c r="F96" s="29">
        <f t="shared" si="11"/>
        <v>1</v>
      </c>
      <c r="G96" s="29">
        <f t="shared" si="9"/>
        <v>0.0002766895340144557</v>
      </c>
    </row>
    <row r="97" spans="1:7" ht="12.75">
      <c r="A97" s="102" t="s">
        <v>88</v>
      </c>
      <c r="B97" s="73">
        <f>29000+1628</f>
        <v>30628</v>
      </c>
      <c r="C97" s="95">
        <v>0</v>
      </c>
      <c r="D97" s="68">
        <f t="shared" si="10"/>
        <v>0</v>
      </c>
      <c r="E97" s="95">
        <v>0</v>
      </c>
      <c r="F97" s="29">
        <f t="shared" si="11"/>
        <v>0</v>
      </c>
      <c r="G97" s="29">
        <f t="shared" si="9"/>
        <v>0</v>
      </c>
    </row>
    <row r="98" spans="1:7" ht="12.75">
      <c r="A98" s="102" t="s">
        <v>89</v>
      </c>
      <c r="B98" s="73">
        <v>36000</v>
      </c>
      <c r="C98" s="95">
        <v>28297.9</v>
      </c>
      <c r="D98" s="68">
        <f t="shared" si="10"/>
        <v>0</v>
      </c>
      <c r="E98" s="95">
        <v>28297.9</v>
      </c>
      <c r="F98" s="29">
        <f t="shared" si="11"/>
        <v>0.7860527777777778</v>
      </c>
      <c r="G98" s="29">
        <f t="shared" si="9"/>
        <v>0.0015659465529175333</v>
      </c>
    </row>
    <row r="99" spans="1:7" ht="12.75">
      <c r="A99" s="102" t="s">
        <v>90</v>
      </c>
      <c r="B99" s="73"/>
      <c r="C99" s="95"/>
      <c r="D99" s="68"/>
      <c r="E99" s="95"/>
      <c r="F99" s="29"/>
      <c r="G99" s="29"/>
    </row>
    <row r="100" spans="1:7" ht="12.75">
      <c r="A100" s="102" t="s">
        <v>67</v>
      </c>
      <c r="B100" s="73">
        <f>500000+100000</f>
        <v>600000</v>
      </c>
      <c r="C100" s="95">
        <v>0</v>
      </c>
      <c r="D100" s="68">
        <f t="shared" si="10"/>
        <v>4270</v>
      </c>
      <c r="E100" s="95">
        <v>4270</v>
      </c>
      <c r="F100" s="29">
        <f t="shared" si="11"/>
        <v>0.007116666666666667</v>
      </c>
      <c r="G100" s="29">
        <f t="shared" si="9"/>
        <v>0.00023629286204834518</v>
      </c>
    </row>
    <row r="101" spans="1:7" ht="12.75">
      <c r="A101" s="102" t="s">
        <v>91</v>
      </c>
      <c r="B101" s="73">
        <v>38864</v>
      </c>
      <c r="C101" s="95">
        <v>67.5</v>
      </c>
      <c r="D101" s="68">
        <f t="shared" si="10"/>
        <v>0</v>
      </c>
      <c r="E101" s="95">
        <v>67.5</v>
      </c>
      <c r="F101" s="29">
        <f t="shared" si="11"/>
        <v>0.0017368258542610128</v>
      </c>
      <c r="G101" s="29">
        <v>0</v>
      </c>
    </row>
    <row r="102" spans="1:7" ht="12.75">
      <c r="A102" s="102" t="s">
        <v>92</v>
      </c>
      <c r="B102" s="73"/>
      <c r="C102" s="95"/>
      <c r="D102" s="68"/>
      <c r="E102" s="95"/>
      <c r="F102" s="29"/>
      <c r="G102" s="29"/>
    </row>
    <row r="103" spans="1:7" ht="12.75">
      <c r="A103" s="102" t="s">
        <v>122</v>
      </c>
      <c r="B103" s="73">
        <f>100000+60000</f>
        <v>160000</v>
      </c>
      <c r="C103" s="95">
        <v>146391.68</v>
      </c>
      <c r="D103" s="68">
        <f t="shared" si="10"/>
        <v>0</v>
      </c>
      <c r="E103" s="95">
        <v>146391.68</v>
      </c>
      <c r="F103" s="29">
        <f t="shared" si="11"/>
        <v>0.914948</v>
      </c>
      <c r="G103" s="29">
        <f t="shared" si="9"/>
        <v>0.008101009144558663</v>
      </c>
    </row>
    <row r="104" spans="1:7" ht="12.75">
      <c r="A104" s="102" t="s">
        <v>93</v>
      </c>
      <c r="B104" s="73">
        <v>160000</v>
      </c>
      <c r="C104" s="95">
        <v>0</v>
      </c>
      <c r="D104" s="68">
        <f t="shared" si="10"/>
        <v>0</v>
      </c>
      <c r="E104" s="95">
        <v>0</v>
      </c>
      <c r="F104" s="29">
        <f t="shared" si="11"/>
        <v>0</v>
      </c>
      <c r="G104" s="29">
        <f t="shared" si="9"/>
        <v>0</v>
      </c>
    </row>
    <row r="105" spans="1:7" ht="12.75">
      <c r="A105" s="102" t="s">
        <v>94</v>
      </c>
      <c r="B105" s="73">
        <v>30000</v>
      </c>
      <c r="C105" s="95">
        <v>0</v>
      </c>
      <c r="D105" s="68">
        <f t="shared" si="10"/>
        <v>0</v>
      </c>
      <c r="E105" s="95">
        <v>0</v>
      </c>
      <c r="F105" s="29">
        <f t="shared" si="11"/>
        <v>0</v>
      </c>
      <c r="G105" s="29">
        <f t="shared" si="9"/>
        <v>0</v>
      </c>
    </row>
    <row r="106" spans="1:7" ht="12.75">
      <c r="A106" s="102" t="s">
        <v>123</v>
      </c>
      <c r="B106" s="73">
        <v>45752</v>
      </c>
      <c r="C106" s="95">
        <v>1220</v>
      </c>
      <c r="D106" s="68">
        <f t="shared" si="10"/>
        <v>43800</v>
      </c>
      <c r="E106" s="95">
        <v>45020</v>
      </c>
      <c r="F106" s="29">
        <f t="shared" si="11"/>
        <v>0.9840006994229761</v>
      </c>
      <c r="G106" s="29">
        <f t="shared" si="9"/>
        <v>0.0024913125642661593</v>
      </c>
    </row>
    <row r="107" spans="1:7" ht="12.75">
      <c r="A107" s="102" t="s">
        <v>130</v>
      </c>
      <c r="B107" s="73">
        <v>60000</v>
      </c>
      <c r="C107" s="95">
        <v>0</v>
      </c>
      <c r="D107" s="68">
        <f t="shared" si="10"/>
        <v>0</v>
      </c>
      <c r="E107" s="95">
        <v>0</v>
      </c>
      <c r="F107" s="29">
        <f t="shared" si="11"/>
        <v>0</v>
      </c>
      <c r="G107" s="29">
        <f t="shared" si="9"/>
        <v>0</v>
      </c>
    </row>
    <row r="108" spans="1:7" ht="12.75">
      <c r="A108" s="102" t="s">
        <v>131</v>
      </c>
      <c r="B108" s="73">
        <v>69600</v>
      </c>
      <c r="C108" s="95">
        <v>0</v>
      </c>
      <c r="D108" s="68">
        <f t="shared" si="10"/>
        <v>0</v>
      </c>
      <c r="E108" s="95">
        <v>0</v>
      </c>
      <c r="F108" s="29">
        <f t="shared" si="11"/>
        <v>0</v>
      </c>
      <c r="G108" s="29">
        <f t="shared" si="9"/>
        <v>0</v>
      </c>
    </row>
    <row r="109" spans="1:7" ht="12.75">
      <c r="A109" s="102" t="s">
        <v>132</v>
      </c>
      <c r="B109" s="73">
        <f>250000+1102</f>
        <v>251102</v>
      </c>
      <c r="C109" s="95">
        <v>0</v>
      </c>
      <c r="D109" s="68">
        <f t="shared" si="10"/>
        <v>251102</v>
      </c>
      <c r="E109" s="95">
        <v>251102</v>
      </c>
      <c r="F109" s="29">
        <f t="shared" si="11"/>
        <v>1</v>
      </c>
      <c r="G109" s="29">
        <f t="shared" si="9"/>
        <v>0.01389545907401957</v>
      </c>
    </row>
    <row r="110" spans="1:7" ht="12.75">
      <c r="A110" s="102" t="s">
        <v>133</v>
      </c>
      <c r="B110" s="73"/>
      <c r="C110" s="95"/>
      <c r="D110" s="68"/>
      <c r="E110" s="95"/>
      <c r="F110" s="29"/>
      <c r="G110" s="29"/>
    </row>
    <row r="111" spans="1:7" ht="12.75">
      <c r="A111" s="102" t="s">
        <v>68</v>
      </c>
      <c r="B111" s="73">
        <v>20000</v>
      </c>
      <c r="C111" s="95">
        <v>16348</v>
      </c>
      <c r="D111" s="68">
        <f t="shared" si="10"/>
        <v>0</v>
      </c>
      <c r="E111" s="95">
        <v>16348</v>
      </c>
      <c r="F111" s="29">
        <f t="shared" si="11"/>
        <v>0.8174</v>
      </c>
      <c r="G111" s="29">
        <f aca="true" t="shared" si="12" ref="G111:G123">E111/E$87</f>
        <v>0.0009046641004136644</v>
      </c>
    </row>
    <row r="112" spans="1:7" ht="12.75">
      <c r="A112" s="102" t="s">
        <v>134</v>
      </c>
      <c r="B112" s="73">
        <v>100000</v>
      </c>
      <c r="C112" s="95">
        <v>0</v>
      </c>
      <c r="D112" s="68">
        <f t="shared" si="10"/>
        <v>0</v>
      </c>
      <c r="E112" s="95">
        <v>0</v>
      </c>
      <c r="F112" s="29">
        <f t="shared" si="11"/>
        <v>0</v>
      </c>
      <c r="G112" s="29">
        <f t="shared" si="12"/>
        <v>0</v>
      </c>
    </row>
    <row r="113" spans="1:7" ht="12.75">
      <c r="A113" s="102" t="s">
        <v>135</v>
      </c>
      <c r="B113" s="73">
        <v>76000</v>
      </c>
      <c r="C113" s="95">
        <v>0</v>
      </c>
      <c r="D113" s="68">
        <f t="shared" si="10"/>
        <v>74566.99</v>
      </c>
      <c r="E113" s="95">
        <v>74566.99</v>
      </c>
      <c r="F113" s="29">
        <f t="shared" si="11"/>
        <v>0.9811446052631579</v>
      </c>
      <c r="G113" s="29">
        <f t="shared" si="12"/>
        <v>0.004126381143192116</v>
      </c>
    </row>
    <row r="114" spans="1:7" ht="12.75">
      <c r="A114" s="102" t="s">
        <v>136</v>
      </c>
      <c r="B114" s="73">
        <f>6177000-150000</f>
        <v>6027000</v>
      </c>
      <c r="C114" s="95">
        <v>339304.9</v>
      </c>
      <c r="D114" s="68">
        <f t="shared" si="10"/>
        <v>293966.9</v>
      </c>
      <c r="E114" s="95">
        <v>633271.8</v>
      </c>
      <c r="F114" s="29">
        <f t="shared" si="11"/>
        <v>0.10507247386759583</v>
      </c>
      <c r="G114" s="29">
        <f t="shared" si="12"/>
        <v>0.03504393584929912</v>
      </c>
    </row>
    <row r="115" spans="1:11" ht="12.75">
      <c r="A115" s="102" t="s">
        <v>137</v>
      </c>
      <c r="B115" s="73">
        <v>100000</v>
      </c>
      <c r="C115" s="95">
        <v>0</v>
      </c>
      <c r="D115" s="68">
        <f t="shared" si="10"/>
        <v>0</v>
      </c>
      <c r="E115" s="95">
        <v>0</v>
      </c>
      <c r="F115" s="29">
        <f t="shared" si="11"/>
        <v>0</v>
      </c>
      <c r="G115" s="29">
        <f t="shared" si="12"/>
        <v>0</v>
      </c>
      <c r="K115" s="90"/>
    </row>
    <row r="116" spans="1:7" ht="12.75">
      <c r="A116" s="102" t="s">
        <v>138</v>
      </c>
      <c r="B116" s="73">
        <v>128500</v>
      </c>
      <c r="C116" s="95">
        <v>24576.48</v>
      </c>
      <c r="D116" s="68">
        <f t="shared" si="10"/>
        <v>23923.52</v>
      </c>
      <c r="E116" s="95">
        <v>48500</v>
      </c>
      <c r="F116" s="29">
        <f t="shared" si="11"/>
        <v>0.377431906614786</v>
      </c>
      <c r="G116" s="29">
        <f t="shared" si="12"/>
        <v>0.0026838884799402205</v>
      </c>
    </row>
    <row r="117" spans="1:7" ht="12.75">
      <c r="A117" s="102" t="s">
        <v>139</v>
      </c>
      <c r="B117" s="73"/>
      <c r="C117" s="95"/>
      <c r="D117" s="68"/>
      <c r="E117" s="95"/>
      <c r="F117" s="29"/>
      <c r="G117" s="29"/>
    </row>
    <row r="118" spans="1:7" ht="12.75">
      <c r="A118" s="104" t="s">
        <v>69</v>
      </c>
      <c r="B118" s="109">
        <v>492681</v>
      </c>
      <c r="C118" s="108">
        <v>487820.09</v>
      </c>
      <c r="D118" s="80">
        <f t="shared" si="10"/>
        <v>0</v>
      </c>
      <c r="E118" s="108">
        <v>487820.09</v>
      </c>
      <c r="F118" s="26">
        <f t="shared" si="11"/>
        <v>0.9901337579488554</v>
      </c>
      <c r="G118" s="26">
        <f t="shared" si="12"/>
        <v>0.02699494267699797</v>
      </c>
    </row>
    <row r="119" spans="1:7" ht="12.75">
      <c r="A119" s="114"/>
      <c r="B119" s="103"/>
      <c r="C119" s="103"/>
      <c r="D119" s="12"/>
      <c r="E119" s="103"/>
      <c r="F119" s="40"/>
      <c r="G119" s="40"/>
    </row>
    <row r="120" spans="1:7" ht="12.75">
      <c r="A120" s="20" t="s">
        <v>0</v>
      </c>
      <c r="B120" s="58" t="s">
        <v>1</v>
      </c>
      <c r="C120" s="59" t="s">
        <v>36</v>
      </c>
      <c r="D120" s="93"/>
      <c r="E120" s="22"/>
      <c r="F120" s="23" t="s">
        <v>2</v>
      </c>
      <c r="G120" s="21" t="s">
        <v>3</v>
      </c>
    </row>
    <row r="121" spans="1:7" ht="12.75">
      <c r="A121" s="24"/>
      <c r="B121" s="107" t="s">
        <v>4</v>
      </c>
      <c r="C121" s="24" t="s">
        <v>112</v>
      </c>
      <c r="D121" s="25" t="s">
        <v>125</v>
      </c>
      <c r="E121" s="17" t="s">
        <v>126</v>
      </c>
      <c r="F121" s="26" t="s">
        <v>5</v>
      </c>
      <c r="G121" s="17" t="s">
        <v>6</v>
      </c>
    </row>
    <row r="122" spans="1:8" ht="12.75">
      <c r="A122" s="116" t="s">
        <v>140</v>
      </c>
      <c r="B122" s="100">
        <v>120000</v>
      </c>
      <c r="C122" s="99">
        <v>0</v>
      </c>
      <c r="D122" s="79">
        <f t="shared" si="10"/>
        <v>0</v>
      </c>
      <c r="E122" s="100">
        <v>0</v>
      </c>
      <c r="F122" s="37">
        <f t="shared" si="11"/>
        <v>0</v>
      </c>
      <c r="G122" s="43">
        <f t="shared" si="12"/>
        <v>0</v>
      </c>
      <c r="H122" s="97"/>
    </row>
    <row r="123" spans="1:8" ht="12.75">
      <c r="A123" s="116" t="s">
        <v>141</v>
      </c>
      <c r="B123" s="79">
        <f>100000+21000</f>
        <v>121000</v>
      </c>
      <c r="C123" s="99">
        <v>0</v>
      </c>
      <c r="D123" s="79">
        <f t="shared" si="10"/>
        <v>0</v>
      </c>
      <c r="E123" s="100">
        <v>0</v>
      </c>
      <c r="F123" s="37">
        <f t="shared" si="11"/>
        <v>0</v>
      </c>
      <c r="G123" s="43">
        <f t="shared" si="12"/>
        <v>0</v>
      </c>
      <c r="H123" s="97"/>
    </row>
    <row r="124" spans="1:8" ht="16.5" customHeight="1">
      <c r="A124" s="102" t="s">
        <v>142</v>
      </c>
      <c r="B124" s="73">
        <v>4000</v>
      </c>
      <c r="C124" s="95">
        <v>0</v>
      </c>
      <c r="D124" s="68">
        <f>E124-C124</f>
        <v>0</v>
      </c>
      <c r="E124" s="103">
        <v>0</v>
      </c>
      <c r="F124" s="37">
        <v>0</v>
      </c>
      <c r="G124" s="29">
        <f>E124/E$87</f>
        <v>0</v>
      </c>
      <c r="H124" s="6"/>
    </row>
    <row r="125" spans="1:8" ht="16.5" customHeight="1">
      <c r="A125" s="102" t="s">
        <v>143</v>
      </c>
      <c r="B125" s="73">
        <v>25550</v>
      </c>
      <c r="C125" s="95">
        <v>25142.37</v>
      </c>
      <c r="D125" s="68">
        <f>E125-C125</f>
        <v>0</v>
      </c>
      <c r="E125" s="95">
        <v>25142.37</v>
      </c>
      <c r="F125" s="29">
        <f>E125/B125</f>
        <v>0.9840457925636007</v>
      </c>
      <c r="G125" s="29">
        <f>E125/E$87</f>
        <v>0.0013913261278638062</v>
      </c>
      <c r="H125" s="6"/>
    </row>
    <row r="126" spans="1:8" ht="16.5" customHeight="1">
      <c r="A126" s="102" t="s">
        <v>144</v>
      </c>
      <c r="B126" s="12">
        <f>4200+70</f>
        <v>4270</v>
      </c>
      <c r="C126" s="99">
        <v>4270</v>
      </c>
      <c r="D126" s="12">
        <f>E126-C126</f>
        <v>0</v>
      </c>
      <c r="E126" s="99">
        <v>4270</v>
      </c>
      <c r="F126" s="40">
        <f>E126/B126</f>
        <v>1</v>
      </c>
      <c r="G126" s="37">
        <f>E126/E$87</f>
        <v>0.00023629286204834518</v>
      </c>
      <c r="H126" s="6"/>
    </row>
    <row r="127" spans="1:8" ht="12.75">
      <c r="A127" s="102" t="s">
        <v>145</v>
      </c>
      <c r="B127" s="73">
        <v>28400</v>
      </c>
      <c r="C127" s="103">
        <v>20184.3</v>
      </c>
      <c r="D127" s="73">
        <f aca="true" t="shared" si="13" ref="D127:D139">E127-C127</f>
        <v>0</v>
      </c>
      <c r="E127" s="103">
        <v>20184.3</v>
      </c>
      <c r="F127" s="43">
        <f aca="true" t="shared" si="14" ref="F127:F141">E127/B127</f>
        <v>0.7107147887323944</v>
      </c>
      <c r="G127" s="37">
        <f aca="true" t="shared" si="15" ref="G127:G134">E127/E$87</f>
        <v>0.0011169569122815956</v>
      </c>
      <c r="H127" s="97"/>
    </row>
    <row r="128" spans="1:7" ht="12.75">
      <c r="A128" s="102" t="s">
        <v>146</v>
      </c>
      <c r="B128" s="73">
        <v>14000</v>
      </c>
      <c r="C128" s="103">
        <v>0</v>
      </c>
      <c r="D128" s="73">
        <f t="shared" si="13"/>
        <v>0</v>
      </c>
      <c r="E128" s="103">
        <v>0</v>
      </c>
      <c r="F128" s="43">
        <f t="shared" si="14"/>
        <v>0</v>
      </c>
      <c r="G128" s="37">
        <f t="shared" si="15"/>
        <v>0</v>
      </c>
    </row>
    <row r="129" spans="1:7" ht="12.75">
      <c r="A129" s="102" t="s">
        <v>147</v>
      </c>
      <c r="B129" s="73">
        <f>50000+2400</f>
        <v>52400</v>
      </c>
      <c r="C129" s="95">
        <v>5490</v>
      </c>
      <c r="D129" s="68">
        <f t="shared" si="13"/>
        <v>0</v>
      </c>
      <c r="E129" s="95">
        <v>5490</v>
      </c>
      <c r="F129" s="43">
        <f t="shared" si="14"/>
        <v>0.10477099236641221</v>
      </c>
      <c r="G129" s="37">
        <f t="shared" si="15"/>
        <v>0.0003038051083478724</v>
      </c>
    </row>
    <row r="130" spans="1:7" ht="12.75">
      <c r="A130" s="102" t="s">
        <v>148</v>
      </c>
      <c r="B130" s="73">
        <f>15000-70-4200</f>
        <v>10730</v>
      </c>
      <c r="C130" s="95">
        <v>10687.2</v>
      </c>
      <c r="D130" s="68">
        <f t="shared" si="13"/>
        <v>0</v>
      </c>
      <c r="E130" s="95">
        <v>10687.2</v>
      </c>
      <c r="F130" s="43">
        <f t="shared" si="14"/>
        <v>0.9960111835973906</v>
      </c>
      <c r="G130" s="37">
        <f t="shared" si="15"/>
        <v>0.0005914072775838582</v>
      </c>
    </row>
    <row r="131" spans="1:7" ht="12.75">
      <c r="A131" s="102" t="s">
        <v>149</v>
      </c>
      <c r="B131" s="73">
        <v>3750</v>
      </c>
      <c r="C131" s="95">
        <v>3747.84</v>
      </c>
      <c r="D131" s="68">
        <f t="shared" si="13"/>
        <v>0</v>
      </c>
      <c r="E131" s="95">
        <v>3747.84</v>
      </c>
      <c r="F131" s="43">
        <f t="shared" si="14"/>
        <v>0.9994240000000001</v>
      </c>
      <c r="G131" s="37">
        <f t="shared" si="15"/>
        <v>0.00020739762063214754</v>
      </c>
    </row>
    <row r="132" spans="1:7" ht="12.75">
      <c r="A132" s="102" t="s">
        <v>150</v>
      </c>
      <c r="B132" s="73">
        <v>12000</v>
      </c>
      <c r="C132" s="95">
        <v>11943.8</v>
      </c>
      <c r="D132" s="68">
        <f t="shared" si="13"/>
        <v>0</v>
      </c>
      <c r="E132" s="95">
        <v>11943.8</v>
      </c>
      <c r="F132" s="43">
        <f t="shared" si="14"/>
        <v>0.9953166666666666</v>
      </c>
      <c r="G132" s="37">
        <f t="shared" si="15"/>
        <v>0.0006609448912723711</v>
      </c>
    </row>
    <row r="133" spans="1:7" ht="12.75">
      <c r="A133" s="102" t="s">
        <v>151</v>
      </c>
      <c r="B133" s="12">
        <f>24400+28600-24400</f>
        <v>28600</v>
      </c>
      <c r="C133" s="73">
        <v>28224.46</v>
      </c>
      <c r="D133" s="12">
        <f t="shared" si="13"/>
        <v>0</v>
      </c>
      <c r="E133" s="73">
        <v>28224.46</v>
      </c>
      <c r="F133" s="43">
        <f t="shared" si="14"/>
        <v>0.9868692307692307</v>
      </c>
      <c r="G133" s="37">
        <f t="shared" si="15"/>
        <v>0.0015618825370419288</v>
      </c>
    </row>
    <row r="134" spans="1:7" ht="12.75">
      <c r="A134" s="102" t="s">
        <v>152</v>
      </c>
      <c r="B134" s="12">
        <v>25000</v>
      </c>
      <c r="C134" s="73">
        <v>0</v>
      </c>
      <c r="D134" s="12">
        <f t="shared" si="13"/>
        <v>0</v>
      </c>
      <c r="E134" s="73">
        <v>0</v>
      </c>
      <c r="F134" s="43">
        <f t="shared" si="14"/>
        <v>0</v>
      </c>
      <c r="G134" s="37">
        <f t="shared" si="15"/>
        <v>0</v>
      </c>
    </row>
    <row r="135" spans="1:7" ht="12.75">
      <c r="A135" s="102" t="s">
        <v>153</v>
      </c>
      <c r="B135" s="68">
        <f>20000-4560-2098</f>
        <v>13342</v>
      </c>
      <c r="C135" s="95">
        <v>9867.65</v>
      </c>
      <c r="D135" s="68">
        <f t="shared" si="13"/>
        <v>0</v>
      </c>
      <c r="E135" s="95">
        <v>9867.65</v>
      </c>
      <c r="F135" s="29">
        <f t="shared" si="14"/>
        <v>0.7395930145405486</v>
      </c>
      <c r="G135" s="29">
        <f aca="true" t="shared" si="16" ref="G135:G141">E135/E$87</f>
        <v>0.0005460550960635488</v>
      </c>
    </row>
    <row r="136" spans="1:7" ht="12.75">
      <c r="A136" s="102" t="s">
        <v>154</v>
      </c>
      <c r="B136" s="68">
        <v>8560</v>
      </c>
      <c r="C136" s="95">
        <v>0</v>
      </c>
      <c r="D136" s="68">
        <f t="shared" si="13"/>
        <v>8560</v>
      </c>
      <c r="E136" s="95">
        <v>8560</v>
      </c>
      <c r="F136" s="29">
        <f t="shared" si="14"/>
        <v>1</v>
      </c>
      <c r="G136" s="29">
        <f t="shared" si="16"/>
        <v>0.00047369248223274815</v>
      </c>
    </row>
    <row r="137" spans="1:7" ht="12.75">
      <c r="A137" s="102" t="s">
        <v>155</v>
      </c>
      <c r="B137" s="73">
        <v>5000</v>
      </c>
      <c r="C137" s="95">
        <v>0</v>
      </c>
      <c r="D137" s="68">
        <f t="shared" si="13"/>
        <v>0</v>
      </c>
      <c r="E137" s="95">
        <v>0</v>
      </c>
      <c r="F137" s="29">
        <f t="shared" si="14"/>
        <v>0</v>
      </c>
      <c r="G137" s="29">
        <f t="shared" si="16"/>
        <v>0</v>
      </c>
    </row>
    <row r="138" spans="1:7" ht="12.75">
      <c r="A138" s="102" t="s">
        <v>156</v>
      </c>
      <c r="B138" s="12">
        <f>60000+2098</f>
        <v>62098</v>
      </c>
      <c r="C138" s="95">
        <v>0</v>
      </c>
      <c r="D138" s="68">
        <f t="shared" si="13"/>
        <v>0</v>
      </c>
      <c r="E138" s="95">
        <v>0</v>
      </c>
      <c r="F138" s="29">
        <f t="shared" si="14"/>
        <v>0</v>
      </c>
      <c r="G138" s="29">
        <f t="shared" si="16"/>
        <v>0</v>
      </c>
    </row>
    <row r="139" spans="1:7" ht="12.75">
      <c r="A139" s="102" t="s">
        <v>157</v>
      </c>
      <c r="B139" s="12">
        <v>32000</v>
      </c>
      <c r="C139" s="99">
        <v>0</v>
      </c>
      <c r="D139" s="68">
        <f t="shared" si="13"/>
        <v>0</v>
      </c>
      <c r="E139" s="99">
        <v>0</v>
      </c>
      <c r="F139" s="29">
        <f t="shared" si="14"/>
        <v>0</v>
      </c>
      <c r="G139" s="29">
        <f t="shared" si="16"/>
        <v>0</v>
      </c>
    </row>
    <row r="140" spans="1:7" ht="12.75">
      <c r="A140" s="102" t="s">
        <v>158</v>
      </c>
      <c r="B140" s="12">
        <v>5000</v>
      </c>
      <c r="C140" s="99">
        <v>0</v>
      </c>
      <c r="D140" s="12">
        <f>E140-C140</f>
        <v>0</v>
      </c>
      <c r="E140" s="99">
        <v>0</v>
      </c>
      <c r="F140" s="40">
        <f t="shared" si="14"/>
        <v>0</v>
      </c>
      <c r="G140" s="37">
        <f t="shared" si="16"/>
        <v>0</v>
      </c>
    </row>
    <row r="141" spans="1:7" ht="12.75">
      <c r="A141" s="102" t="s">
        <v>159</v>
      </c>
      <c r="B141" s="12">
        <f>16905.75-15000</f>
        <v>1905.75</v>
      </c>
      <c r="C141" s="99">
        <v>0</v>
      </c>
      <c r="D141" s="12">
        <f>E141-C141</f>
        <v>0</v>
      </c>
      <c r="E141" s="99">
        <v>0</v>
      </c>
      <c r="F141" s="40">
        <f t="shared" si="14"/>
        <v>0</v>
      </c>
      <c r="G141" s="37">
        <f t="shared" si="16"/>
        <v>0</v>
      </c>
    </row>
    <row r="142" spans="1:7" ht="12.75">
      <c r="A142" s="102" t="s">
        <v>160</v>
      </c>
      <c r="B142" s="68">
        <v>13500</v>
      </c>
      <c r="C142" s="95">
        <v>11190</v>
      </c>
      <c r="D142" s="68">
        <f>E142-C142</f>
        <v>0</v>
      </c>
      <c r="E142" s="95">
        <v>11190</v>
      </c>
      <c r="F142" s="29">
        <f aca="true" t="shared" si="17" ref="F142:F157">E142/B142</f>
        <v>0.8288888888888889</v>
      </c>
      <c r="G142" s="29">
        <f aca="true" t="shared" si="18" ref="G142:G156">E142/E$87</f>
        <v>0.0006192311771243519</v>
      </c>
    </row>
    <row r="143" spans="1:7" ht="12.75">
      <c r="A143" s="102" t="s">
        <v>161</v>
      </c>
      <c r="B143" s="68"/>
      <c r="C143" s="95"/>
      <c r="D143" s="68"/>
      <c r="E143" s="95"/>
      <c r="F143" s="29"/>
      <c r="G143" s="29"/>
    </row>
    <row r="144" spans="1:7" ht="12.75">
      <c r="A144" s="102" t="s">
        <v>70</v>
      </c>
      <c r="B144" s="68">
        <f>27000-22000</f>
        <v>5000</v>
      </c>
      <c r="C144" s="95">
        <v>0</v>
      </c>
      <c r="D144" s="68">
        <f>E144-C144</f>
        <v>0</v>
      </c>
      <c r="E144" s="95">
        <v>0</v>
      </c>
      <c r="F144" s="29">
        <f t="shared" si="17"/>
        <v>0</v>
      </c>
      <c r="G144" s="29">
        <f t="shared" si="18"/>
        <v>0</v>
      </c>
    </row>
    <row r="145" spans="1:8" ht="13.5" customHeight="1">
      <c r="A145" s="102" t="s">
        <v>162</v>
      </c>
      <c r="B145" s="79">
        <f>40000-40000</f>
        <v>0</v>
      </c>
      <c r="C145" s="100">
        <v>0</v>
      </c>
      <c r="D145" s="79">
        <f>E145-C145</f>
        <v>0</v>
      </c>
      <c r="E145" s="100">
        <v>0</v>
      </c>
      <c r="F145" s="43"/>
      <c r="G145" s="43">
        <f t="shared" si="18"/>
        <v>0</v>
      </c>
      <c r="H145" s="97"/>
    </row>
    <row r="146" spans="1:8" ht="13.5" customHeight="1">
      <c r="A146" s="102" t="s">
        <v>163</v>
      </c>
      <c r="B146" s="12">
        <f>82000+63000</f>
        <v>145000</v>
      </c>
      <c r="C146" s="100">
        <v>0</v>
      </c>
      <c r="D146" s="79">
        <f>E146-C146</f>
        <v>0</v>
      </c>
      <c r="E146" s="100">
        <v>0</v>
      </c>
      <c r="F146" s="43">
        <f t="shared" si="17"/>
        <v>0</v>
      </c>
      <c r="G146" s="37">
        <f t="shared" si="18"/>
        <v>0</v>
      </c>
      <c r="H146" s="6"/>
    </row>
    <row r="147" spans="1:8" ht="13.5" customHeight="1">
      <c r="A147" s="102" t="s">
        <v>164</v>
      </c>
      <c r="B147" s="12">
        <v>61000</v>
      </c>
      <c r="C147" s="100">
        <v>61000</v>
      </c>
      <c r="D147" s="79">
        <f>E147-C147</f>
        <v>0</v>
      </c>
      <c r="E147" s="100">
        <v>61000</v>
      </c>
      <c r="F147" s="43">
        <f t="shared" si="17"/>
        <v>1</v>
      </c>
      <c r="G147" s="43">
        <f t="shared" si="18"/>
        <v>0.0033756123149763597</v>
      </c>
      <c r="H147" s="97"/>
    </row>
    <row r="148" spans="1:7" s="6" customFormat="1" ht="12.75">
      <c r="A148" s="102" t="s">
        <v>165</v>
      </c>
      <c r="B148" s="12">
        <v>50000</v>
      </c>
      <c r="C148" s="99">
        <v>0</v>
      </c>
      <c r="D148" s="12">
        <f aca="true" t="shared" si="19" ref="D148:D164">E148-C148</f>
        <v>0</v>
      </c>
      <c r="E148" s="99">
        <v>0</v>
      </c>
      <c r="F148" s="40">
        <f t="shared" si="17"/>
        <v>0</v>
      </c>
      <c r="G148" s="37">
        <f t="shared" si="18"/>
        <v>0</v>
      </c>
    </row>
    <row r="149" spans="1:7" s="6" customFormat="1" ht="12.75">
      <c r="A149" s="102" t="s">
        <v>166</v>
      </c>
      <c r="B149" s="12">
        <v>80000</v>
      </c>
      <c r="C149" s="99">
        <v>0</v>
      </c>
      <c r="D149" s="12">
        <f t="shared" si="19"/>
        <v>0</v>
      </c>
      <c r="E149" s="99">
        <v>0</v>
      </c>
      <c r="F149" s="40">
        <f t="shared" si="17"/>
        <v>0</v>
      </c>
      <c r="G149" s="37">
        <f t="shared" si="18"/>
        <v>0</v>
      </c>
    </row>
    <row r="150" spans="1:7" s="6" customFormat="1" ht="12.75">
      <c r="A150" s="102" t="s">
        <v>167</v>
      </c>
      <c r="B150" s="79">
        <f>100000+32440</f>
        <v>132440</v>
      </c>
      <c r="C150" s="99">
        <v>18.01</v>
      </c>
      <c r="D150" s="73">
        <f t="shared" si="19"/>
        <v>0</v>
      </c>
      <c r="E150" s="99">
        <v>18.01</v>
      </c>
      <c r="F150" s="43">
        <f t="shared" si="17"/>
        <v>0.0001359861069163395</v>
      </c>
      <c r="G150" s="37">
        <f t="shared" si="18"/>
        <v>9.966357015200695E-07</v>
      </c>
    </row>
    <row r="151" spans="1:7" s="6" customFormat="1" ht="12.75">
      <c r="A151" s="102" t="s">
        <v>168</v>
      </c>
      <c r="B151" s="12">
        <v>64000</v>
      </c>
      <c r="C151" s="99">
        <v>0</v>
      </c>
      <c r="D151" s="73">
        <f t="shared" si="19"/>
        <v>0</v>
      </c>
      <c r="E151" s="99">
        <v>0</v>
      </c>
      <c r="F151" s="43">
        <f t="shared" si="17"/>
        <v>0</v>
      </c>
      <c r="G151" s="37">
        <f t="shared" si="18"/>
        <v>0</v>
      </c>
    </row>
    <row r="152" spans="1:7" ht="12.75">
      <c r="A152" s="102" t="s">
        <v>169</v>
      </c>
      <c r="B152" s="68">
        <v>409000</v>
      </c>
      <c r="C152" s="99">
        <v>0</v>
      </c>
      <c r="D152" s="12">
        <f t="shared" si="19"/>
        <v>0</v>
      </c>
      <c r="E152" s="99">
        <v>0</v>
      </c>
      <c r="F152" s="29">
        <f t="shared" si="17"/>
        <v>0</v>
      </c>
      <c r="G152" s="29">
        <f t="shared" si="18"/>
        <v>0</v>
      </c>
    </row>
    <row r="153" spans="1:7" ht="12.75">
      <c r="A153" s="102" t="s">
        <v>170</v>
      </c>
      <c r="B153" s="73">
        <v>154000</v>
      </c>
      <c r="C153" s="99">
        <v>0</v>
      </c>
      <c r="D153" s="12">
        <f t="shared" si="19"/>
        <v>0</v>
      </c>
      <c r="E153" s="99">
        <v>0</v>
      </c>
      <c r="F153" s="29">
        <f t="shared" si="17"/>
        <v>0</v>
      </c>
      <c r="G153" s="29">
        <f t="shared" si="18"/>
        <v>0</v>
      </c>
    </row>
    <row r="154" spans="1:7" ht="12.75">
      <c r="A154" s="102" t="s">
        <v>171</v>
      </c>
      <c r="B154" s="73">
        <f>23000-4700</f>
        <v>18300</v>
      </c>
      <c r="C154" s="99">
        <v>18300</v>
      </c>
      <c r="D154" s="12">
        <f t="shared" si="19"/>
        <v>0</v>
      </c>
      <c r="E154" s="99">
        <v>18300</v>
      </c>
      <c r="F154" s="29">
        <f t="shared" si="17"/>
        <v>1</v>
      </c>
      <c r="G154" s="29">
        <f t="shared" si="18"/>
        <v>0.001012683694492908</v>
      </c>
    </row>
    <row r="155" spans="1:7" ht="12.75">
      <c r="A155" s="102" t="s">
        <v>172</v>
      </c>
      <c r="B155" s="73">
        <v>506133</v>
      </c>
      <c r="C155" s="99">
        <v>0</v>
      </c>
      <c r="D155" s="12">
        <f t="shared" si="19"/>
        <v>0</v>
      </c>
      <c r="E155" s="99">
        <v>0</v>
      </c>
      <c r="F155" s="29">
        <f t="shared" si="17"/>
        <v>0</v>
      </c>
      <c r="G155" s="29">
        <f t="shared" si="18"/>
        <v>0</v>
      </c>
    </row>
    <row r="156" spans="1:7" ht="12.75">
      <c r="A156" s="102" t="s">
        <v>173</v>
      </c>
      <c r="B156" s="73">
        <v>28000</v>
      </c>
      <c r="C156" s="99">
        <v>0</v>
      </c>
      <c r="D156" s="12">
        <f t="shared" si="19"/>
        <v>0</v>
      </c>
      <c r="E156" s="99">
        <v>0</v>
      </c>
      <c r="F156" s="29">
        <f t="shared" si="17"/>
        <v>0</v>
      </c>
      <c r="G156" s="29">
        <f t="shared" si="18"/>
        <v>0</v>
      </c>
    </row>
    <row r="157" spans="1:7" ht="12.75">
      <c r="A157" s="102" t="s">
        <v>174</v>
      </c>
      <c r="B157" s="73">
        <v>50000</v>
      </c>
      <c r="C157" s="99">
        <v>0</v>
      </c>
      <c r="D157" s="12">
        <f t="shared" si="19"/>
        <v>0</v>
      </c>
      <c r="E157" s="99">
        <v>0</v>
      </c>
      <c r="F157" s="29">
        <f t="shared" si="17"/>
        <v>0</v>
      </c>
      <c r="G157" s="29">
        <f>E157/E$87</f>
        <v>0</v>
      </c>
    </row>
    <row r="158" spans="1:7" s="16" customFormat="1" ht="14.25" customHeight="1">
      <c r="A158" s="102" t="s">
        <v>175</v>
      </c>
      <c r="B158" s="73">
        <v>50000</v>
      </c>
      <c r="C158" s="99">
        <v>0</v>
      </c>
      <c r="D158" s="12">
        <f t="shared" si="19"/>
        <v>0</v>
      </c>
      <c r="E158" s="99">
        <v>0</v>
      </c>
      <c r="F158" s="29">
        <f>E158/B158</f>
        <v>0</v>
      </c>
      <c r="G158" s="29">
        <f>E158/E$87</f>
        <v>0</v>
      </c>
    </row>
    <row r="159" spans="1:7" s="16" customFormat="1" ht="14.25" customHeight="1">
      <c r="A159" s="104" t="s">
        <v>176</v>
      </c>
      <c r="B159" s="67">
        <v>20500</v>
      </c>
      <c r="C159" s="109">
        <v>20459.4</v>
      </c>
      <c r="D159" s="86">
        <f t="shared" si="19"/>
        <v>0</v>
      </c>
      <c r="E159" s="109">
        <v>20459.4</v>
      </c>
      <c r="F159" s="26">
        <f>E159/B159</f>
        <v>0.998019512195122</v>
      </c>
      <c r="G159" s="26">
        <f>E159/E$87</f>
        <v>0.0011321803704430712</v>
      </c>
    </row>
    <row r="160" spans="1:7" s="16" customFormat="1" ht="14.25" customHeight="1">
      <c r="A160" s="114"/>
      <c r="B160" s="12"/>
      <c r="C160" s="103"/>
      <c r="D160" s="12"/>
      <c r="E160" s="103"/>
      <c r="F160" s="40"/>
      <c r="G160" s="40"/>
    </row>
    <row r="161" spans="1:7" s="16" customFormat="1" ht="14.25" customHeight="1">
      <c r="A161" s="20" t="s">
        <v>0</v>
      </c>
      <c r="B161" s="113" t="s">
        <v>1</v>
      </c>
      <c r="C161" s="59" t="s">
        <v>36</v>
      </c>
      <c r="D161" s="93"/>
      <c r="E161" s="22"/>
      <c r="F161" s="121" t="s">
        <v>2</v>
      </c>
      <c r="G161" s="113" t="s">
        <v>3</v>
      </c>
    </row>
    <row r="162" spans="1:7" s="16" customFormat="1" ht="14.25" customHeight="1">
      <c r="A162" s="24"/>
      <c r="B162" s="17" t="s">
        <v>4</v>
      </c>
      <c r="C162" s="17" t="s">
        <v>112</v>
      </c>
      <c r="D162" s="25" t="s">
        <v>125</v>
      </c>
      <c r="E162" s="17" t="s">
        <v>126</v>
      </c>
      <c r="F162" s="112" t="s">
        <v>5</v>
      </c>
      <c r="G162" s="24" t="s">
        <v>6</v>
      </c>
    </row>
    <row r="163" spans="1:8" s="16" customFormat="1" ht="14.25" customHeight="1">
      <c r="A163" s="102" t="s">
        <v>177</v>
      </c>
      <c r="B163" s="118">
        <v>25000</v>
      </c>
      <c r="C163" s="117">
        <v>0</v>
      </c>
      <c r="D163" s="118">
        <f t="shared" si="19"/>
        <v>0</v>
      </c>
      <c r="E163" s="120">
        <v>0</v>
      </c>
      <c r="F163" s="119">
        <f>E163/B163</f>
        <v>0</v>
      </c>
      <c r="G163" s="119">
        <f>E163/E$87</f>
        <v>0</v>
      </c>
      <c r="H163" s="122"/>
    </row>
    <row r="164" spans="1:8" s="16" customFormat="1" ht="14.25" customHeight="1">
      <c r="A164" s="102" t="s">
        <v>178</v>
      </c>
      <c r="B164" s="79">
        <v>700000</v>
      </c>
      <c r="C164" s="99">
        <v>21.96</v>
      </c>
      <c r="D164" s="79">
        <f t="shared" si="19"/>
        <v>900</v>
      </c>
      <c r="E164" s="100">
        <v>921.96</v>
      </c>
      <c r="F164" s="43">
        <f>E164/B164</f>
        <v>0.0013170857142857143</v>
      </c>
      <c r="G164" s="43">
        <f>E164/E$87</f>
        <v>5.101933655599352E-05</v>
      </c>
      <c r="H164" s="122"/>
    </row>
    <row r="165" spans="1:7" s="16" customFormat="1" ht="14.25" customHeight="1">
      <c r="A165" s="102" t="s">
        <v>179</v>
      </c>
      <c r="B165" s="73"/>
      <c r="C165" s="99"/>
      <c r="D165" s="12"/>
      <c r="E165" s="99"/>
      <c r="F165" s="29"/>
      <c r="G165" s="29"/>
    </row>
    <row r="166" spans="1:7" s="16" customFormat="1" ht="14.25" customHeight="1">
      <c r="A166" s="102" t="s">
        <v>71</v>
      </c>
      <c r="B166" s="73">
        <f>60000+30000</f>
        <v>90000</v>
      </c>
      <c r="C166" s="99">
        <v>0</v>
      </c>
      <c r="D166" s="12">
        <f aca="true" t="shared" si="20" ref="D166:D171">E166-C166</f>
        <v>0</v>
      </c>
      <c r="E166" s="99">
        <v>0</v>
      </c>
      <c r="F166" s="29">
        <f>E166/B166</f>
        <v>0</v>
      </c>
      <c r="G166" s="29">
        <f>E166/E$87</f>
        <v>0</v>
      </c>
    </row>
    <row r="167" spans="1:7" s="16" customFormat="1" ht="14.25" customHeight="1">
      <c r="A167" s="102" t="s">
        <v>180</v>
      </c>
      <c r="B167" s="73">
        <v>690000</v>
      </c>
      <c r="C167" s="99">
        <v>536190</v>
      </c>
      <c r="D167" s="12">
        <f t="shared" si="20"/>
        <v>-96690</v>
      </c>
      <c r="E167" s="99">
        <v>439500</v>
      </c>
      <c r="F167" s="29">
        <f>E167/B167</f>
        <v>0.6369565217391304</v>
      </c>
      <c r="G167" s="29">
        <f>E167/E$87</f>
        <v>0.024321010039870656</v>
      </c>
    </row>
    <row r="168" spans="1:7" s="16" customFormat="1" ht="14.25" customHeight="1">
      <c r="A168" s="102" t="s">
        <v>181</v>
      </c>
      <c r="B168" s="73">
        <v>44042</v>
      </c>
      <c r="C168" s="99">
        <v>0</v>
      </c>
      <c r="D168" s="12">
        <f t="shared" si="20"/>
        <v>44042</v>
      </c>
      <c r="E168" s="99">
        <v>44042</v>
      </c>
      <c r="F168" s="29">
        <f>E168/B168</f>
        <v>1</v>
      </c>
      <c r="G168" s="29">
        <f>E168/E$87</f>
        <v>0.002437192091412932</v>
      </c>
    </row>
    <row r="169" spans="1:7" s="16" customFormat="1" ht="14.25" customHeight="1">
      <c r="A169" s="102" t="s">
        <v>182</v>
      </c>
      <c r="B169" s="73">
        <v>10277</v>
      </c>
      <c r="C169" s="99">
        <v>6824</v>
      </c>
      <c r="D169" s="12">
        <f t="shared" si="20"/>
        <v>0</v>
      </c>
      <c r="E169" s="99">
        <v>6824</v>
      </c>
      <c r="F169" s="29">
        <f>E169/B169</f>
        <v>0.6640070059355843</v>
      </c>
      <c r="G169" s="29">
        <f>E169/E$87</f>
        <v>0.00037762587602292914</v>
      </c>
    </row>
    <row r="170" spans="1:7" s="16" customFormat="1" ht="14.25" customHeight="1">
      <c r="A170" s="102" t="s">
        <v>183</v>
      </c>
      <c r="B170" s="73">
        <v>18000</v>
      </c>
      <c r="C170" s="99">
        <v>0</v>
      </c>
      <c r="D170" s="12">
        <f t="shared" si="20"/>
        <v>0</v>
      </c>
      <c r="E170" s="99">
        <v>0</v>
      </c>
      <c r="F170" s="29">
        <v>0</v>
      </c>
      <c r="G170" s="29">
        <v>0</v>
      </c>
    </row>
    <row r="171" spans="1:7" s="16" customFormat="1" ht="14.25" customHeight="1">
      <c r="A171" s="102" t="s">
        <v>184</v>
      </c>
      <c r="B171" s="73">
        <v>29000</v>
      </c>
      <c r="C171" s="99">
        <v>0</v>
      </c>
      <c r="D171" s="12">
        <f t="shared" si="20"/>
        <v>0</v>
      </c>
      <c r="E171" s="99">
        <v>0</v>
      </c>
      <c r="F171" s="29">
        <v>0</v>
      </c>
      <c r="G171" s="29">
        <v>0</v>
      </c>
    </row>
    <row r="172" spans="1:7" s="16" customFormat="1" ht="14.25" customHeight="1">
      <c r="A172" s="102" t="s">
        <v>185</v>
      </c>
      <c r="B172" s="73"/>
      <c r="C172" s="99"/>
      <c r="D172" s="12"/>
      <c r="E172" s="99"/>
      <c r="F172" s="29"/>
      <c r="G172" s="29"/>
    </row>
    <row r="173" spans="1:7" s="16" customFormat="1" ht="14.25" customHeight="1">
      <c r="A173" s="102" t="s">
        <v>83</v>
      </c>
      <c r="B173" s="12">
        <v>6775</v>
      </c>
      <c r="C173" s="99">
        <v>6775</v>
      </c>
      <c r="D173" s="79">
        <f>E173-C173</f>
        <v>0</v>
      </c>
      <c r="E173" s="99">
        <v>6775</v>
      </c>
      <c r="F173" s="40">
        <f>E173/B173</f>
        <v>1</v>
      </c>
      <c r="G173" s="37">
        <f>E173/E$87</f>
        <v>0.0003749143185895875</v>
      </c>
    </row>
    <row r="174" spans="1:7" s="16" customFormat="1" ht="14.25" customHeight="1">
      <c r="A174" s="102" t="s">
        <v>186</v>
      </c>
      <c r="B174" s="73">
        <v>70000</v>
      </c>
      <c r="C174" s="99">
        <v>0</v>
      </c>
      <c r="D174" s="12">
        <f>E174-C174</f>
        <v>0</v>
      </c>
      <c r="E174" s="99">
        <v>0</v>
      </c>
      <c r="F174" s="29">
        <f>E174/B174</f>
        <v>0</v>
      </c>
      <c r="G174" s="29">
        <f>E174/E$87</f>
        <v>0</v>
      </c>
    </row>
    <row r="175" spans="1:7" s="16" customFormat="1" ht="14.25" customHeight="1">
      <c r="A175" s="102" t="s">
        <v>110</v>
      </c>
      <c r="B175" s="73">
        <v>569716.08</v>
      </c>
      <c r="C175" s="99">
        <v>569716.08</v>
      </c>
      <c r="D175" s="12">
        <f>E175-C175</f>
        <v>0</v>
      </c>
      <c r="E175" s="99">
        <v>569716.08</v>
      </c>
      <c r="F175" s="29">
        <f>E175/B175</f>
        <v>1</v>
      </c>
      <c r="G175" s="29">
        <f>E175/E$87</f>
        <v>0.03152689533914847</v>
      </c>
    </row>
    <row r="176" spans="1:7" s="16" customFormat="1" ht="14.25" customHeight="1">
      <c r="A176" s="102" t="s">
        <v>187</v>
      </c>
      <c r="B176" s="73"/>
      <c r="C176" s="99"/>
      <c r="D176" s="12"/>
      <c r="E176" s="99"/>
      <c r="F176" s="29"/>
      <c r="G176" s="29"/>
    </row>
    <row r="177" spans="1:7" s="16" customFormat="1" ht="14.25" customHeight="1">
      <c r="A177" s="102" t="s">
        <v>72</v>
      </c>
      <c r="B177" s="73">
        <v>100000</v>
      </c>
      <c r="C177" s="99">
        <v>3416</v>
      </c>
      <c r="D177" s="12">
        <f aca="true" t="shared" si="21" ref="D177:D182">E177-C177</f>
        <v>0</v>
      </c>
      <c r="E177" s="99">
        <v>3416</v>
      </c>
      <c r="F177" s="29">
        <f>E177/B177</f>
        <v>0.03416</v>
      </c>
      <c r="G177" s="29">
        <f aca="true" t="shared" si="22" ref="G177:G182">E177/E$87</f>
        <v>0.00018903428963867614</v>
      </c>
    </row>
    <row r="178" spans="1:7" s="16" customFormat="1" ht="14.25" customHeight="1">
      <c r="A178" s="102" t="s">
        <v>188</v>
      </c>
      <c r="B178" s="73">
        <f>260000+12000</f>
        <v>272000</v>
      </c>
      <c r="C178" s="99">
        <v>99552</v>
      </c>
      <c r="D178" s="12">
        <f t="shared" si="21"/>
        <v>11956</v>
      </c>
      <c r="E178" s="99">
        <v>111508</v>
      </c>
      <c r="F178" s="29">
        <f>E178/B178</f>
        <v>0.40995588235294117</v>
      </c>
      <c r="G178" s="29">
        <f t="shared" si="22"/>
        <v>0.006170619311776785</v>
      </c>
    </row>
    <row r="179" spans="1:7" s="16" customFormat="1" ht="14.25" customHeight="1">
      <c r="A179" s="102" t="s">
        <v>189</v>
      </c>
      <c r="B179" s="73">
        <f>15000-2800</f>
        <v>12200</v>
      </c>
      <c r="C179" s="99">
        <v>12200</v>
      </c>
      <c r="D179" s="12">
        <f t="shared" si="21"/>
        <v>0</v>
      </c>
      <c r="E179" s="99">
        <v>12200</v>
      </c>
      <c r="F179" s="29">
        <f>E179/B179</f>
        <v>1</v>
      </c>
      <c r="G179" s="29">
        <f t="shared" si="22"/>
        <v>0.0006751224629952719</v>
      </c>
    </row>
    <row r="180" spans="1:7" s="16" customFormat="1" ht="14.25" customHeight="1">
      <c r="A180" s="102" t="s">
        <v>190</v>
      </c>
      <c r="B180" s="73">
        <v>0</v>
      </c>
      <c r="C180" s="99">
        <v>0</v>
      </c>
      <c r="D180" s="12">
        <f t="shared" si="21"/>
        <v>0</v>
      </c>
      <c r="E180" s="99">
        <v>0</v>
      </c>
      <c r="F180" s="29">
        <v>0</v>
      </c>
      <c r="G180" s="29">
        <f t="shared" si="22"/>
        <v>0</v>
      </c>
    </row>
    <row r="181" spans="1:7" s="16" customFormat="1" ht="14.25" customHeight="1">
      <c r="A181" s="102" t="s">
        <v>191</v>
      </c>
      <c r="B181" s="73">
        <v>9000</v>
      </c>
      <c r="C181" s="99">
        <v>0</v>
      </c>
      <c r="D181" s="12">
        <f t="shared" si="21"/>
        <v>0</v>
      </c>
      <c r="E181" s="99">
        <v>0</v>
      </c>
      <c r="F181" s="29">
        <v>0</v>
      </c>
      <c r="G181" s="29">
        <f t="shared" si="22"/>
        <v>0</v>
      </c>
    </row>
    <row r="182" spans="1:7" s="16" customFormat="1" ht="14.25" customHeight="1">
      <c r="A182" s="102" t="s">
        <v>192</v>
      </c>
      <c r="B182" s="73">
        <v>45000</v>
      </c>
      <c r="C182" s="99">
        <v>0</v>
      </c>
      <c r="D182" s="12">
        <f t="shared" si="21"/>
        <v>0</v>
      </c>
      <c r="E182" s="99">
        <v>0</v>
      </c>
      <c r="F182" s="29">
        <v>0</v>
      </c>
      <c r="G182" s="29">
        <f t="shared" si="22"/>
        <v>0</v>
      </c>
    </row>
    <row r="183" spans="1:7" s="16" customFormat="1" ht="14.25" customHeight="1">
      <c r="A183" s="102" t="s">
        <v>193</v>
      </c>
      <c r="B183" s="73"/>
      <c r="C183" s="99"/>
      <c r="D183" s="12"/>
      <c r="E183" s="99"/>
      <c r="F183" s="29"/>
      <c r="G183" s="29"/>
    </row>
    <row r="184" spans="1:7" s="16" customFormat="1" ht="14.25" customHeight="1">
      <c r="A184" s="102" t="s">
        <v>111</v>
      </c>
      <c r="B184" s="73">
        <f>45000+10000</f>
        <v>55000</v>
      </c>
      <c r="C184" s="99">
        <v>0</v>
      </c>
      <c r="D184" s="12">
        <f>E184-C184</f>
        <v>0</v>
      </c>
      <c r="E184" s="99">
        <v>0</v>
      </c>
      <c r="F184" s="29">
        <f>E184/B184</f>
        <v>0</v>
      </c>
      <c r="G184" s="29">
        <f>E184/E$87</f>
        <v>0</v>
      </c>
    </row>
    <row r="185" spans="1:7" s="16" customFormat="1" ht="14.25" customHeight="1">
      <c r="A185" s="102" t="s">
        <v>194</v>
      </c>
      <c r="B185" s="73"/>
      <c r="C185" s="99"/>
      <c r="D185" s="12"/>
      <c r="E185" s="99"/>
      <c r="F185" s="29"/>
      <c r="G185" s="29"/>
    </row>
    <row r="186" spans="1:7" s="16" customFormat="1" ht="14.25" customHeight="1">
      <c r="A186" s="102" t="s">
        <v>81</v>
      </c>
      <c r="B186" s="73"/>
      <c r="C186" s="99"/>
      <c r="D186" s="12"/>
      <c r="E186" s="99"/>
      <c r="F186" s="29"/>
      <c r="G186" s="29"/>
    </row>
    <row r="187" spans="1:7" s="16" customFormat="1" ht="14.25" customHeight="1">
      <c r="A187" s="102" t="s">
        <v>82</v>
      </c>
      <c r="B187" s="73">
        <f>202300-108000</f>
        <v>94300</v>
      </c>
      <c r="C187" s="99">
        <v>0</v>
      </c>
      <c r="D187" s="12">
        <f>E187-C187</f>
        <v>0</v>
      </c>
      <c r="E187" s="99">
        <v>0</v>
      </c>
      <c r="F187" s="29">
        <f>E187/B187</f>
        <v>0</v>
      </c>
      <c r="G187" s="29">
        <f>E187/E$87</f>
        <v>0</v>
      </c>
    </row>
    <row r="188" spans="1:7" s="16" customFormat="1" ht="14.25" customHeight="1">
      <c r="A188" s="18" t="s">
        <v>195</v>
      </c>
      <c r="B188" s="68">
        <v>108000</v>
      </c>
      <c r="C188" s="99"/>
      <c r="D188" s="12"/>
      <c r="E188" s="99"/>
      <c r="F188" s="29"/>
      <c r="G188" s="29"/>
    </row>
    <row r="189" spans="1:9" s="16" customFormat="1" ht="20.25">
      <c r="A189" s="34" t="s">
        <v>24</v>
      </c>
      <c r="B189" s="69">
        <f>B87-B88</f>
        <v>22550521.340000004</v>
      </c>
      <c r="C189" s="69">
        <f>C87-C88</f>
        <v>13133757.629999999</v>
      </c>
      <c r="D189" s="69">
        <f>E189-C189</f>
        <v>1646250.6900000013</v>
      </c>
      <c r="E189" s="69">
        <f>E87-E88</f>
        <v>14780008.32</v>
      </c>
      <c r="F189" s="28">
        <f>E189/B189</f>
        <v>0.6554175886738057</v>
      </c>
      <c r="G189" s="36">
        <f>E189/E$87</f>
        <v>0.8178947229581157</v>
      </c>
      <c r="I189" s="101"/>
    </row>
    <row r="190" spans="1:9" s="16" customFormat="1" ht="20.25">
      <c r="A190" s="46"/>
      <c r="B190" s="98"/>
      <c r="C190" s="98"/>
      <c r="D190" s="98"/>
      <c r="E190" s="98"/>
      <c r="F190" s="47"/>
      <c r="G190" s="47"/>
      <c r="I190" s="101"/>
    </row>
    <row r="191" spans="1:9" s="16" customFormat="1" ht="20.25">
      <c r="A191" s="46"/>
      <c r="B191" s="98"/>
      <c r="C191" s="98"/>
      <c r="D191" s="98"/>
      <c r="E191" s="98"/>
      <c r="F191" s="47"/>
      <c r="G191" s="47"/>
      <c r="I191" s="101"/>
    </row>
    <row r="192" spans="1:9" s="16" customFormat="1" ht="20.25">
      <c r="A192" s="46"/>
      <c r="B192" s="98"/>
      <c r="C192" s="98"/>
      <c r="D192" s="98"/>
      <c r="E192" s="98"/>
      <c r="F192" s="47"/>
      <c r="G192" s="47"/>
      <c r="I192" s="101"/>
    </row>
    <row r="193" spans="1:9" s="16" customFormat="1" ht="20.25">
      <c r="A193" s="46"/>
      <c r="B193" s="98"/>
      <c r="C193" s="98"/>
      <c r="D193" s="98"/>
      <c r="E193" s="98"/>
      <c r="F193" s="47"/>
      <c r="G193" s="47"/>
      <c r="I193" s="101"/>
    </row>
    <row r="194" spans="1:9" s="16" customFormat="1" ht="20.25">
      <c r="A194" s="46"/>
      <c r="B194" s="98"/>
      <c r="C194" s="98"/>
      <c r="D194" s="98"/>
      <c r="E194" s="98"/>
      <c r="F194" s="47"/>
      <c r="G194" s="47"/>
      <c r="I194" s="101"/>
    </row>
    <row r="195" spans="1:9" s="16" customFormat="1" ht="20.25">
      <c r="A195" s="20" t="s">
        <v>0</v>
      </c>
      <c r="B195" s="113" t="s">
        <v>1</v>
      </c>
      <c r="C195" s="59" t="s">
        <v>36</v>
      </c>
      <c r="D195" s="93"/>
      <c r="E195" s="22"/>
      <c r="F195" s="121" t="s">
        <v>2</v>
      </c>
      <c r="G195" s="113" t="s">
        <v>3</v>
      </c>
      <c r="I195" s="124"/>
    </row>
    <row r="196" spans="1:9" s="16" customFormat="1" ht="20.25">
      <c r="A196" s="24"/>
      <c r="B196" s="17" t="s">
        <v>4</v>
      </c>
      <c r="C196" s="17" t="s">
        <v>112</v>
      </c>
      <c r="D196" s="25" t="s">
        <v>125</v>
      </c>
      <c r="E196" s="17" t="s">
        <v>126</v>
      </c>
      <c r="F196" s="112" t="s">
        <v>5</v>
      </c>
      <c r="G196" s="24" t="s">
        <v>6</v>
      </c>
      <c r="I196" s="124"/>
    </row>
    <row r="197" spans="1:9" s="13" customFormat="1" ht="15">
      <c r="A197" s="127" t="s">
        <v>57</v>
      </c>
      <c r="B197" s="128">
        <f>B6-B87</f>
        <v>-5815687.340000004</v>
      </c>
      <c r="C197" s="128">
        <f>C6-C87</f>
        <v>1743559.4100000039</v>
      </c>
      <c r="D197" s="128">
        <f>D6-D87</f>
        <v>146621.73999999464</v>
      </c>
      <c r="E197" s="129">
        <f>E6-E87</f>
        <v>1890181.1499999985</v>
      </c>
      <c r="F197" s="32"/>
      <c r="G197" s="48"/>
      <c r="I197" s="90"/>
    </row>
    <row r="198" spans="1:7" s="13" customFormat="1" ht="15.75" thickBot="1">
      <c r="A198" s="125" t="s">
        <v>25</v>
      </c>
      <c r="B198" s="126">
        <f>B199-B204</f>
        <v>5815687.34</v>
      </c>
      <c r="C198" s="126">
        <f>C199-C204</f>
        <v>4533192.41</v>
      </c>
      <c r="D198" s="123">
        <f>D199-D204</f>
        <v>12500</v>
      </c>
      <c r="E198" s="126">
        <f>E199-E204</f>
        <v>4545692.41</v>
      </c>
      <c r="F198" s="72">
        <f>E197+E198</f>
        <v>6435873.559999999</v>
      </c>
      <c r="G198" s="48"/>
    </row>
    <row r="199" spans="1:9" s="15" customFormat="1" ht="14.25">
      <c r="A199" s="34" t="s">
        <v>115</v>
      </c>
      <c r="B199" s="81">
        <f>SUM(B200:B203)</f>
        <v>6917159.34</v>
      </c>
      <c r="C199" s="82">
        <f>SUM(C200:C203)</f>
        <v>5614664.41</v>
      </c>
      <c r="D199" s="83">
        <f>SUM(D200:D203)</f>
        <v>12500</v>
      </c>
      <c r="E199" s="82">
        <f>SUM(E200:E203)</f>
        <v>5627164.41</v>
      </c>
      <c r="F199" s="10"/>
      <c r="G199" s="49"/>
      <c r="I199" s="90"/>
    </row>
    <row r="200" spans="1:10" s="3" customFormat="1" ht="14.25">
      <c r="A200" s="18" t="s">
        <v>55</v>
      </c>
      <c r="B200" s="12">
        <v>4500000</v>
      </c>
      <c r="C200" s="73">
        <v>0</v>
      </c>
      <c r="D200" s="12">
        <v>0</v>
      </c>
      <c r="E200" s="73">
        <v>0</v>
      </c>
      <c r="F200" s="19"/>
      <c r="G200" s="12"/>
      <c r="J200" s="103"/>
    </row>
    <row r="201" spans="1:10" s="3" customFormat="1" ht="14.25">
      <c r="A201" s="18" t="s">
        <v>26</v>
      </c>
      <c r="B201" s="12">
        <v>160000</v>
      </c>
      <c r="C201" s="73">
        <v>80000</v>
      </c>
      <c r="D201" s="12">
        <f>E201-C201</f>
        <v>12500</v>
      </c>
      <c r="E201" s="73">
        <v>92500</v>
      </c>
      <c r="F201" s="10"/>
      <c r="G201" s="12"/>
      <c r="J201" s="103"/>
    </row>
    <row r="202" spans="1:10" s="3" customFormat="1" ht="14.25">
      <c r="A202" s="18" t="s">
        <v>27</v>
      </c>
      <c r="B202" s="12">
        <f>3284100.34+899902+333000+1017662-21290-3256215</f>
        <v>2257159.34</v>
      </c>
      <c r="C202" s="73">
        <v>5534664.41</v>
      </c>
      <c r="D202" s="12">
        <f>E202-C202</f>
        <v>0</v>
      </c>
      <c r="E202" s="73">
        <v>5534664.41</v>
      </c>
      <c r="F202" s="72"/>
      <c r="G202" s="11"/>
      <c r="J202" s="92"/>
    </row>
    <row r="203" spans="1:10" s="3" customFormat="1" ht="15" thickBot="1">
      <c r="A203" s="18" t="s">
        <v>28</v>
      </c>
      <c r="B203" s="12">
        <v>0</v>
      </c>
      <c r="C203" s="73">
        <v>0</v>
      </c>
      <c r="D203" s="12">
        <v>0</v>
      </c>
      <c r="E203" s="73">
        <v>0</v>
      </c>
      <c r="F203" s="19"/>
      <c r="G203" s="11"/>
      <c r="J203" s="91"/>
    </row>
    <row r="204" spans="1:9" s="14" customFormat="1" ht="12.75">
      <c r="A204" s="50" t="s">
        <v>116</v>
      </c>
      <c r="B204" s="83">
        <f>SUM(B205:B206)</f>
        <v>1101472</v>
      </c>
      <c r="C204" s="84">
        <f>SUM(C205:C206)</f>
        <v>1081472</v>
      </c>
      <c r="D204" s="85">
        <f>SUM(D205:D206)</f>
        <v>0</v>
      </c>
      <c r="E204" s="84">
        <f>SUM(E205:E206)</f>
        <v>1081472</v>
      </c>
      <c r="F204" s="19"/>
      <c r="G204" s="46"/>
      <c r="I204" s="90"/>
    </row>
    <row r="205" spans="1:7" ht="12.75">
      <c r="A205" s="24" t="s">
        <v>30</v>
      </c>
      <c r="B205" s="67">
        <f>927029+14443</f>
        <v>941472</v>
      </c>
      <c r="C205" s="67">
        <f>927029+14443</f>
        <v>941472</v>
      </c>
      <c r="D205" s="86">
        <f>E205-C205</f>
        <v>0</v>
      </c>
      <c r="E205" s="67">
        <f>927029+14443</f>
        <v>941472</v>
      </c>
      <c r="F205" s="72"/>
      <c r="G205" s="44"/>
    </row>
    <row r="206" spans="1:7" ht="12.75">
      <c r="A206" s="51" t="s">
        <v>31</v>
      </c>
      <c r="B206" s="87">
        <v>160000</v>
      </c>
      <c r="C206" s="88">
        <v>140000</v>
      </c>
      <c r="D206" s="86">
        <f>E206-C206</f>
        <v>0</v>
      </c>
      <c r="E206" s="88">
        <v>140000</v>
      </c>
      <c r="F206" s="10"/>
      <c r="G206" s="10"/>
    </row>
    <row r="207" spans="1:7" ht="12.75" hidden="1">
      <c r="A207" s="44" t="s">
        <v>54</v>
      </c>
      <c r="B207" s="45"/>
      <c r="C207" s="45"/>
      <c r="D207" s="44"/>
      <c r="E207" s="45"/>
      <c r="F207" s="10"/>
      <c r="G207" s="10"/>
    </row>
    <row r="208" spans="1:7" ht="12.75" hidden="1">
      <c r="A208" s="10" t="s">
        <v>50</v>
      </c>
      <c r="B208" s="52"/>
      <c r="C208" s="19">
        <f>C6</f>
        <v>17507706.860000003</v>
      </c>
      <c r="D208" s="10"/>
      <c r="E208" s="19">
        <f>E6</f>
        <v>19960976.7</v>
      </c>
      <c r="F208" s="53"/>
      <c r="G208" s="10"/>
    </row>
    <row r="209" spans="1:7" ht="12.75" hidden="1">
      <c r="A209" s="10" t="s">
        <v>51</v>
      </c>
      <c r="B209" s="10"/>
      <c r="C209" s="19">
        <f>C60</f>
        <v>722454.5</v>
      </c>
      <c r="D209" s="10"/>
      <c r="E209" s="19">
        <f>E60</f>
        <v>780566.12</v>
      </c>
      <c r="F209" s="53"/>
      <c r="G209" s="10"/>
    </row>
    <row r="210" spans="1:7" ht="12.75" hidden="1">
      <c r="A210" s="10" t="s">
        <v>52</v>
      </c>
      <c r="B210" s="10"/>
      <c r="C210" s="19">
        <f>C208-C209</f>
        <v>16785252.360000003</v>
      </c>
      <c r="D210" s="19"/>
      <c r="E210" s="19">
        <f>E208-E209</f>
        <v>19180410.58</v>
      </c>
      <c r="F210" s="53"/>
      <c r="G210" s="10"/>
    </row>
    <row r="211" spans="1:7" ht="12.75" hidden="1">
      <c r="A211" s="10" t="s">
        <v>53</v>
      </c>
      <c r="B211" s="10"/>
      <c r="C211" s="19" t="e">
        <f>#REF!</f>
        <v>#REF!</v>
      </c>
      <c r="D211" s="19"/>
      <c r="E211" s="19" t="e">
        <f>#REF!</f>
        <v>#REF!</v>
      </c>
      <c r="F211" s="53"/>
      <c r="G211" s="10"/>
    </row>
    <row r="212" spans="1:7" ht="12.75" hidden="1">
      <c r="A212" s="10" t="s">
        <v>59</v>
      </c>
      <c r="B212" s="10"/>
      <c r="C212" s="19">
        <v>0</v>
      </c>
      <c r="D212" s="19"/>
      <c r="E212" s="19">
        <v>0</v>
      </c>
      <c r="F212" s="53"/>
      <c r="G212" s="10"/>
    </row>
    <row r="213" spans="1:7" ht="12.75">
      <c r="A213" s="10" t="s">
        <v>127</v>
      </c>
      <c r="B213" s="10"/>
      <c r="C213" s="19"/>
      <c r="D213" s="19"/>
      <c r="E213" s="19"/>
      <c r="F213" s="53"/>
      <c r="G213" s="10"/>
    </row>
    <row r="214" spans="1:7" ht="12.75">
      <c r="A214" s="10"/>
      <c r="B214" s="10"/>
      <c r="C214" s="19"/>
      <c r="D214" s="19"/>
      <c r="E214" s="19"/>
      <c r="F214" s="53"/>
      <c r="G214" s="10"/>
    </row>
    <row r="215" spans="1:7" ht="12.75">
      <c r="A215" s="10"/>
      <c r="B215" s="10"/>
      <c r="C215" s="19"/>
      <c r="D215" s="19"/>
      <c r="E215" s="19"/>
      <c r="F215" s="53"/>
      <c r="G215" s="10"/>
    </row>
    <row r="216" spans="1:7" ht="12.75">
      <c r="A216" s="10"/>
      <c r="B216" s="10"/>
      <c r="C216" s="19"/>
      <c r="D216" s="19"/>
      <c r="E216" s="19"/>
      <c r="F216" s="53"/>
      <c r="G216" s="10"/>
    </row>
    <row r="217" spans="1:7" ht="12.75">
      <c r="A217" s="10"/>
      <c r="B217" s="10"/>
      <c r="C217" s="19"/>
      <c r="D217" s="19"/>
      <c r="E217" s="19"/>
      <c r="F217" s="53"/>
      <c r="G217" s="10"/>
    </row>
    <row r="218" spans="1:7" ht="12.75">
      <c r="A218" s="10"/>
      <c r="B218" s="10"/>
      <c r="C218" s="19"/>
      <c r="D218" s="19"/>
      <c r="E218" s="19"/>
      <c r="F218" s="53"/>
      <c r="G218" s="10"/>
    </row>
    <row r="219" spans="1:7" ht="12.75">
      <c r="A219" s="10"/>
      <c r="B219" s="10"/>
      <c r="C219" s="19"/>
      <c r="D219" s="19"/>
      <c r="E219" s="19"/>
      <c r="F219" s="53"/>
      <c r="G219" s="10"/>
    </row>
    <row r="220" spans="1:7" ht="12.75">
      <c r="A220" s="10"/>
      <c r="B220" s="10"/>
      <c r="C220" s="19"/>
      <c r="D220" s="19"/>
      <c r="E220" s="19"/>
      <c r="F220" s="53"/>
      <c r="G220" s="10"/>
    </row>
    <row r="221" spans="1:7" ht="12.75">
      <c r="A221" s="10"/>
      <c r="B221" s="10"/>
      <c r="C221" s="19"/>
      <c r="D221" s="19"/>
      <c r="E221" s="19"/>
      <c r="F221" s="53"/>
      <c r="G221" s="10"/>
    </row>
    <row r="222" spans="1:7" ht="12.75">
      <c r="A222" s="10"/>
      <c r="B222" s="10"/>
      <c r="C222" s="19"/>
      <c r="D222" s="19"/>
      <c r="E222" s="19"/>
      <c r="F222" s="53"/>
      <c r="G222" s="10"/>
    </row>
    <row r="223" spans="1:7" ht="12.75">
      <c r="A223" s="10"/>
      <c r="B223" s="10"/>
      <c r="C223" s="19"/>
      <c r="D223" s="19"/>
      <c r="E223" s="19"/>
      <c r="F223" s="53"/>
      <c r="G223" s="10"/>
    </row>
    <row r="224" spans="1:7" ht="12.75">
      <c r="A224" s="10"/>
      <c r="B224" s="10"/>
      <c r="C224" s="19"/>
      <c r="D224" s="19"/>
      <c r="E224" s="19"/>
      <c r="F224" s="53"/>
      <c r="G224" s="10"/>
    </row>
    <row r="225" spans="1:7" ht="12.75">
      <c r="A225" s="10"/>
      <c r="B225" s="10"/>
      <c r="C225" s="19"/>
      <c r="D225" s="19"/>
      <c r="E225" s="19"/>
      <c r="F225" s="53"/>
      <c r="G225" s="10"/>
    </row>
    <row r="226" spans="3:5" ht="14.25">
      <c r="C226" s="2"/>
      <c r="D226" s="2"/>
      <c r="E226" s="2"/>
    </row>
    <row r="227" spans="3:5" ht="14.25">
      <c r="C227" s="2"/>
      <c r="D227" s="2"/>
      <c r="E227" s="2"/>
    </row>
    <row r="228" spans="3:5" ht="14.25">
      <c r="C228" s="2"/>
      <c r="D228" s="2"/>
      <c r="E228" s="2"/>
    </row>
    <row r="229" spans="3:5" ht="14.25">
      <c r="C229" s="2"/>
      <c r="D229" s="2"/>
      <c r="E229" s="2"/>
    </row>
    <row r="230" spans="3:5" ht="14.25">
      <c r="C230" s="2"/>
      <c r="D230" s="2"/>
      <c r="E230" s="2"/>
    </row>
    <row r="231" spans="3:5" ht="14.25">
      <c r="C231" s="2"/>
      <c r="D231" s="2"/>
      <c r="E231" s="2"/>
    </row>
    <row r="232" spans="3:5" ht="14.25">
      <c r="C232" s="2"/>
      <c r="D232" s="2"/>
      <c r="E232" s="2"/>
    </row>
    <row r="233" spans="3:5" ht="14.25">
      <c r="C233" s="2"/>
      <c r="D233" s="2"/>
      <c r="E233" s="2"/>
    </row>
    <row r="234" spans="3:5" ht="14.25">
      <c r="C234" s="2"/>
      <c r="D234" s="2"/>
      <c r="E234" s="2"/>
    </row>
    <row r="235" spans="3:5" ht="14.25">
      <c r="C235" s="2"/>
      <c r="D235" s="2"/>
      <c r="E235" s="2"/>
    </row>
    <row r="236" spans="3:5" ht="14.25">
      <c r="C236" s="2"/>
      <c r="D236" s="2"/>
      <c r="E236" s="2"/>
    </row>
    <row r="237" spans="3:5" ht="14.25">
      <c r="C237" s="2"/>
      <c r="D237" s="2"/>
      <c r="E237" s="2"/>
    </row>
    <row r="238" spans="3:5" ht="14.25">
      <c r="C238" s="2"/>
      <c r="D238" s="2"/>
      <c r="E238" s="2"/>
    </row>
    <row r="239" spans="3:5" ht="14.25">
      <c r="C239" s="2"/>
      <c r="D239" s="2"/>
      <c r="E239" s="2"/>
    </row>
    <row r="240" spans="3:5" ht="14.25">
      <c r="C240" s="2"/>
      <c r="D240" s="2"/>
      <c r="E240" s="2"/>
    </row>
    <row r="241" spans="3:5" ht="14.25">
      <c r="C241" s="2"/>
      <c r="D241" s="2"/>
      <c r="E241" s="2"/>
    </row>
    <row r="242" spans="3:5" ht="14.25">
      <c r="C242" s="2"/>
      <c r="D242" s="2"/>
      <c r="E242" s="2"/>
    </row>
    <row r="243" spans="3:5" ht="14.25">
      <c r="C243" s="2"/>
      <c r="D243" s="2"/>
      <c r="E243" s="2"/>
    </row>
    <row r="244" spans="3:5" ht="14.25">
      <c r="C244" s="2"/>
      <c r="D244" s="2"/>
      <c r="E244" s="2"/>
    </row>
    <row r="245" spans="3:5" ht="14.25">
      <c r="C245" s="2"/>
      <c r="D245" s="2"/>
      <c r="E245" s="2"/>
    </row>
    <row r="246" spans="3:5" ht="14.25">
      <c r="C246" s="2"/>
      <c r="D246" s="2"/>
      <c r="E246" s="2"/>
    </row>
    <row r="247" spans="3:5" ht="14.25">
      <c r="C247" s="2"/>
      <c r="D247" s="2"/>
      <c r="E247" s="2"/>
    </row>
    <row r="248" spans="3:5" ht="14.25">
      <c r="C248" s="2"/>
      <c r="D248" s="2"/>
      <c r="E248" s="2"/>
    </row>
    <row r="249" spans="3:5" ht="14.25">
      <c r="C249" s="2"/>
      <c r="D249" s="2"/>
      <c r="E249" s="2"/>
    </row>
    <row r="250" spans="3:5" ht="14.25">
      <c r="C250" s="2"/>
      <c r="D250" s="2"/>
      <c r="E250" s="2"/>
    </row>
    <row r="251" spans="3:5" ht="14.25">
      <c r="C251" s="2"/>
      <c r="D251" s="2"/>
      <c r="E251" s="2"/>
    </row>
    <row r="252" spans="3:5" ht="14.25">
      <c r="C252" s="2"/>
      <c r="D252" s="2"/>
      <c r="E252" s="2"/>
    </row>
    <row r="253" spans="3:5" ht="14.25">
      <c r="C253" s="2"/>
      <c r="D253" s="2"/>
      <c r="E253" s="2"/>
    </row>
    <row r="254" spans="3:5" ht="14.25">
      <c r="C254" s="2"/>
      <c r="D254" s="2"/>
      <c r="E254" s="2"/>
    </row>
    <row r="255" spans="3:5" ht="14.25">
      <c r="C255" s="2"/>
      <c r="D255" s="2"/>
      <c r="E255" s="2"/>
    </row>
    <row r="256" spans="3:5" ht="14.25">
      <c r="C256" s="2"/>
      <c r="D256" s="2"/>
      <c r="E256" s="2"/>
    </row>
    <row r="257" spans="3:5" ht="14.25">
      <c r="C257" s="2"/>
      <c r="D257" s="2"/>
      <c r="E257" s="2"/>
    </row>
    <row r="258" spans="3:5" ht="14.25">
      <c r="C258" s="2"/>
      <c r="D258" s="2"/>
      <c r="E258" s="2"/>
    </row>
    <row r="259" spans="3:5" ht="14.25">
      <c r="C259" s="2"/>
      <c r="D259" s="2"/>
      <c r="E259" s="2"/>
    </row>
    <row r="260" spans="3:5" ht="14.25">
      <c r="C260" s="2"/>
      <c r="D260" s="2"/>
      <c r="E260" s="2"/>
    </row>
    <row r="261" spans="3:5" ht="14.25">
      <c r="C261" s="2"/>
      <c r="D261" s="2"/>
      <c r="E261" s="2"/>
    </row>
    <row r="262" spans="3:5" ht="14.25">
      <c r="C262" s="2"/>
      <c r="D262" s="2"/>
      <c r="E262" s="2"/>
    </row>
    <row r="263" spans="3:5" ht="14.25">
      <c r="C263" s="2"/>
      <c r="D263" s="2"/>
      <c r="E263" s="2"/>
    </row>
    <row r="264" spans="3:5" ht="14.25">
      <c r="C264" s="2"/>
      <c r="D264" s="2"/>
      <c r="E264" s="2"/>
    </row>
    <row r="265" spans="3:5" ht="14.25">
      <c r="C265" s="2"/>
      <c r="D265" s="2"/>
      <c r="E265" s="2"/>
    </row>
    <row r="266" spans="3:5" ht="14.25">
      <c r="C266" s="2"/>
      <c r="D266" s="2"/>
      <c r="E266" s="2"/>
    </row>
    <row r="267" spans="3:5" ht="14.25">
      <c r="C267" s="2"/>
      <c r="D267" s="2"/>
      <c r="E267" s="2"/>
    </row>
    <row r="268" spans="3:5" ht="14.25">
      <c r="C268" s="2"/>
      <c r="D268" s="2"/>
      <c r="E268" s="2"/>
    </row>
    <row r="269" spans="3:5" ht="14.25">
      <c r="C269" s="2"/>
      <c r="D269" s="2"/>
      <c r="E269" s="2"/>
    </row>
    <row r="270" spans="3:5" ht="14.25">
      <c r="C270" s="2"/>
      <c r="D270" s="2"/>
      <c r="E270" s="2"/>
    </row>
    <row r="271" spans="3:5" ht="14.25">
      <c r="C271" s="2"/>
      <c r="D271" s="2"/>
      <c r="E271" s="2"/>
    </row>
    <row r="272" spans="3:5" ht="14.25">
      <c r="C272" s="2"/>
      <c r="D272" s="2"/>
      <c r="E272" s="2"/>
    </row>
    <row r="273" spans="3:5" ht="14.25">
      <c r="C273" s="2"/>
      <c r="D273" s="2"/>
      <c r="E273" s="2"/>
    </row>
    <row r="274" spans="3:5" ht="14.25">
      <c r="C274" s="2"/>
      <c r="D274" s="2"/>
      <c r="E274" s="2"/>
    </row>
    <row r="275" spans="3:5" ht="14.25">
      <c r="C275" s="2"/>
      <c r="D275" s="2"/>
      <c r="E275" s="2"/>
    </row>
    <row r="276" spans="3:5" ht="14.25">
      <c r="C276" s="2"/>
      <c r="D276" s="2"/>
      <c r="E276" s="2"/>
    </row>
    <row r="277" spans="3:5" ht="14.25">
      <c r="C277" s="2"/>
      <c r="D277" s="2"/>
      <c r="E277" s="2"/>
    </row>
    <row r="278" spans="3:5" ht="14.25">
      <c r="C278" s="2"/>
      <c r="D278" s="2"/>
      <c r="E278" s="2"/>
    </row>
    <row r="279" spans="3:5" ht="14.25">
      <c r="C279" s="2"/>
      <c r="D279" s="2"/>
      <c r="E279" s="2"/>
    </row>
    <row r="280" spans="3:5" ht="14.25">
      <c r="C280" s="2"/>
      <c r="D280" s="2"/>
      <c r="E280" s="2"/>
    </row>
    <row r="281" spans="3:5" ht="14.25">
      <c r="C281" s="2"/>
      <c r="D281" s="2"/>
      <c r="E281" s="2"/>
    </row>
    <row r="282" spans="3:5" ht="14.25">
      <c r="C282" s="2"/>
      <c r="D282" s="2"/>
      <c r="E282" s="2"/>
    </row>
    <row r="283" spans="3:5" ht="14.25">
      <c r="C283" s="2"/>
      <c r="D283" s="2"/>
      <c r="E283" s="2"/>
    </row>
    <row r="284" spans="3:5" ht="14.25">
      <c r="C284" s="2"/>
      <c r="D284" s="2"/>
      <c r="E284" s="2"/>
    </row>
    <row r="285" spans="3:5" ht="14.25">
      <c r="C285" s="2"/>
      <c r="D285" s="2"/>
      <c r="E285" s="2"/>
    </row>
    <row r="286" spans="3:5" ht="14.25">
      <c r="C286" s="2"/>
      <c r="D286" s="2"/>
      <c r="E286" s="2"/>
    </row>
    <row r="287" spans="3:5" ht="14.25">
      <c r="C287" s="2"/>
      <c r="D287" s="2"/>
      <c r="E287" s="2"/>
    </row>
    <row r="288" spans="3:5" ht="14.25">
      <c r="C288" s="2"/>
      <c r="D288" s="2"/>
      <c r="E288" s="2"/>
    </row>
    <row r="289" spans="3:5" ht="14.25">
      <c r="C289" s="2"/>
      <c r="D289" s="2"/>
      <c r="E289" s="2"/>
    </row>
    <row r="290" spans="3:5" ht="14.25">
      <c r="C290" s="2"/>
      <c r="D290" s="2"/>
      <c r="E290" s="2"/>
    </row>
    <row r="291" spans="3:5" ht="14.25">
      <c r="C291" s="2"/>
      <c r="D291" s="2"/>
      <c r="E291" s="2"/>
    </row>
    <row r="292" spans="3:5" ht="14.25">
      <c r="C292" s="2"/>
      <c r="D292" s="2"/>
      <c r="E292" s="2"/>
    </row>
    <row r="293" spans="3:5" ht="14.25">
      <c r="C293" s="2"/>
      <c r="D293" s="2"/>
      <c r="E293" s="2"/>
    </row>
    <row r="294" spans="3:5" ht="14.25">
      <c r="C294" s="2"/>
      <c r="D294" s="2"/>
      <c r="E294" s="2"/>
    </row>
    <row r="295" spans="3:5" ht="14.25">
      <c r="C295" s="2"/>
      <c r="D295" s="2"/>
      <c r="E295" s="2"/>
    </row>
    <row r="296" spans="3:5" ht="14.25">
      <c r="C296" s="2"/>
      <c r="D296" s="2"/>
      <c r="E296" s="2"/>
    </row>
    <row r="297" spans="3:5" ht="14.25">
      <c r="C297" s="2"/>
      <c r="D297" s="2"/>
      <c r="E297" s="2"/>
    </row>
  </sheetData>
  <printOptions/>
  <pageMargins left="0.5511811023622047" right="0.15748031496062992" top="0.3937007874015748" bottom="0.6" header="0.1968503937007874" footer="0.31496062992125984"/>
  <pageSetup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2007-10-25T05:56:29Z</cp:lastPrinted>
  <dcterms:created xsi:type="dcterms:W3CDTF">2004-03-01T11:41:49Z</dcterms:created>
  <dcterms:modified xsi:type="dcterms:W3CDTF">2007-10-25T05:57:15Z</dcterms:modified>
  <cp:category/>
  <cp:version/>
  <cp:contentType/>
  <cp:contentStatus/>
</cp:coreProperties>
</file>