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OPIS97" sheetId="1" r:id="rId1"/>
  </sheets>
  <definedNames/>
  <calcPr fullCalcOnLoad="1"/>
</workbook>
</file>

<file path=xl/sharedStrings.xml><?xml version="1.0" encoding="utf-8"?>
<sst xmlns="http://schemas.openxmlformats.org/spreadsheetml/2006/main" count="524" uniqueCount="473">
  <si>
    <t xml:space="preserve">    D2.2.Spłaty pożyczek</t>
  </si>
  <si>
    <t xml:space="preserve">Przewiduje się dochody z dotacji otrzymanych z Gminy Wolin </t>
  </si>
  <si>
    <t>Dochody ogółem przewiduje się na sumę</t>
  </si>
  <si>
    <t>nieruchomości:</t>
  </si>
  <si>
    <t xml:space="preserve">      działka nr 85/6 o pow.23 790 m2,</t>
  </si>
  <si>
    <t xml:space="preserve">   b/ lokali mieszkalnych</t>
  </si>
  <si>
    <t>Dochody ogółem przewiduje się na kwotę</t>
  </si>
  <si>
    <t xml:space="preserve">Dochody ogółem przewiduje się na kwotę, </t>
  </si>
  <si>
    <t>2.podatek od nieruchomości</t>
  </si>
  <si>
    <t xml:space="preserve">3.podatek rolny </t>
  </si>
  <si>
    <t>4. podatek leśny</t>
  </si>
  <si>
    <t xml:space="preserve">5. podatek od środków transportowych </t>
  </si>
  <si>
    <t xml:space="preserve">6. podatek od czynności cywilnoprawnych </t>
  </si>
  <si>
    <t>8. odsetki od nieterminowych wpłat z tyt.podat. i opłat</t>
  </si>
  <si>
    <t>9. podatek od spadków i darowizn</t>
  </si>
  <si>
    <t>10. opłata od posiadania psów</t>
  </si>
  <si>
    <t>11. wpływy z opłaty targowej</t>
  </si>
  <si>
    <t>12.wpływy z opłaty miejscowej</t>
  </si>
  <si>
    <t>13.wpływy z opłaty skarbowej</t>
  </si>
  <si>
    <t>14.wpływy z opłat za zezwolenia na sprzedaż alkoholu</t>
  </si>
  <si>
    <t>2.część równoważąca dodatki mieszkaniowe</t>
  </si>
  <si>
    <t>w wysokości</t>
  </si>
  <si>
    <t>z tego na:</t>
  </si>
  <si>
    <t>1.część oświatową</t>
  </si>
  <si>
    <t>3.wydatki związane z utrzymaniem nieruchomości:</t>
  </si>
  <si>
    <t xml:space="preserve">   c/ koszty windykacji zaległych czynszów</t>
  </si>
  <si>
    <t>5.promocja</t>
  </si>
  <si>
    <t>2.utrzymanie Ochotniczej Straży Pożarnej</t>
  </si>
  <si>
    <t>3.obrona cywilna</t>
  </si>
  <si>
    <t xml:space="preserve">1.utrzymanie szkoły podstawowej nr 1 (w tym utrzymanie </t>
  </si>
  <si>
    <t>4.bezpłatne szczepienia przeciwko grypie oraz rakowi szyjki macicy</t>
  </si>
  <si>
    <t xml:space="preserve">  a także koszty obsługi świadczeń rodzinnych</t>
  </si>
  <si>
    <t>5.inne remonty</t>
  </si>
  <si>
    <t>6.opieka nad bezdomnymi zwierzętami</t>
  </si>
  <si>
    <t>7.dotacja celowa dla Gminy Golczewo na utrzymanie 15 stanowisk</t>
  </si>
  <si>
    <t>8.monitoring składowiska odpadów</t>
  </si>
  <si>
    <t>4.zakup usług na stadionie miejskim</t>
  </si>
  <si>
    <t>1.wpłata na rzecz Izby Rolniczej</t>
  </si>
  <si>
    <t>9.monitoring wód gruntowych w rejonie plaży kapieliska morskiego</t>
  </si>
  <si>
    <t>10.utrzymanie przepompowni melioracyjnej (energia i konserwacja)</t>
  </si>
  <si>
    <t>11.dotacja przedmiotowa dla ZOŚ -dofinansowanie utrzymania stadionu</t>
  </si>
  <si>
    <t>12.dotacja przedmiotowa dla ZOŚ-dofinansowanie (cmentarz)</t>
  </si>
  <si>
    <t xml:space="preserve">    niepełnosprawnych fizycznie poruszających się na wózkach</t>
  </si>
  <si>
    <t>Opis dochodów   w  zł</t>
  </si>
  <si>
    <t>w tym :</t>
  </si>
  <si>
    <t>OŚWIATA  I  WYCHOWANIE</t>
  </si>
  <si>
    <t>z tego:</t>
  </si>
  <si>
    <t xml:space="preserve"> 1/ dzierżawy sal lekcyjnych,gimnastycznych</t>
  </si>
  <si>
    <t xml:space="preserve">     siłowni i innych </t>
  </si>
  <si>
    <t xml:space="preserve">     z czego przpada na:</t>
  </si>
  <si>
    <t xml:space="preserve">     szkoła podstawowa nr 1 </t>
  </si>
  <si>
    <t xml:space="preserve">     szkoła podstawowa nr 2</t>
  </si>
  <si>
    <t xml:space="preserve">     gimnazjum</t>
  </si>
  <si>
    <t xml:space="preserve">   z czego przypada na:</t>
  </si>
  <si>
    <t>w tym:</t>
  </si>
  <si>
    <t>Dochody ogółem wynoszą</t>
  </si>
  <si>
    <t>RÓŻNE  ROZLICZENIA</t>
  </si>
  <si>
    <t xml:space="preserve">   z tego na:</t>
  </si>
  <si>
    <t xml:space="preserve"> D O C H O D Y     O G Ó Ł E M</t>
  </si>
  <si>
    <t>Opis wydatków  w zł</t>
  </si>
  <si>
    <t xml:space="preserve">1.utrzymanie czystości  </t>
  </si>
  <si>
    <t xml:space="preserve">2.utrzymanie zieleni </t>
  </si>
  <si>
    <t>OCHRONA  ZDROWIA</t>
  </si>
  <si>
    <t>KULTURA  FIZYCZNA  I  SPORT</t>
  </si>
  <si>
    <t xml:space="preserve">  Związek Miast i Gmin Morskich</t>
  </si>
  <si>
    <t>1.zadania  zlecone - sprawy obywatelskie</t>
  </si>
  <si>
    <t>Wydatki inwestycyjne i majątkowe - ogółem</t>
  </si>
  <si>
    <t xml:space="preserve">O G Ó Ł E M       W Y D A T K I </t>
  </si>
  <si>
    <t>ROLNICTWO  I  ŁOWIECTWO</t>
  </si>
  <si>
    <t>Dział 630</t>
  </si>
  <si>
    <t>TURYSTYKA</t>
  </si>
  <si>
    <t>Dział 700</t>
  </si>
  <si>
    <t>GOSPODARKA  MIESZKANIOWA</t>
  </si>
  <si>
    <t xml:space="preserve">   Państwa  lub jedn.samorządu teryt.oraz innych</t>
  </si>
  <si>
    <t xml:space="preserve">   umów o podobnym charakterze</t>
  </si>
  <si>
    <t>Dział 750</t>
  </si>
  <si>
    <t>ADMINISTRACJA  PUBLICZNA</t>
  </si>
  <si>
    <t>Dział 751</t>
  </si>
  <si>
    <t>URZĘDY NACZELNYCH ORGANÓW WŁADZY PAŃSTWOWEJ...</t>
  </si>
  <si>
    <t>Dział 754</t>
  </si>
  <si>
    <t>BEZPIECZEŃSTWO PUBLICZNE I OCHRONA PRZECIWPOŻAROWA</t>
  </si>
  <si>
    <t>Dział 756</t>
  </si>
  <si>
    <t>1.podatek od działalności gospodarczej osób fizycznych</t>
  </si>
  <si>
    <t xml:space="preserve">   opłacany w formie karty podatkowej</t>
  </si>
  <si>
    <t>Dział 758</t>
  </si>
  <si>
    <t>Dział 801</t>
  </si>
  <si>
    <t>Dział 854</t>
  </si>
  <si>
    <t>EDUKACYJNA OPIEKA WYCHOWAWCZA</t>
  </si>
  <si>
    <t>Dział 900</t>
  </si>
  <si>
    <t>Dział 600</t>
  </si>
  <si>
    <t>TRANSPORT I ŁĄCZNOŚĆ</t>
  </si>
  <si>
    <t>Wydatki bieżące ogółem</t>
  </si>
  <si>
    <t xml:space="preserve">TURYSTYKA  </t>
  </si>
  <si>
    <t>Dział 710</t>
  </si>
  <si>
    <t>DZIAŁALNOŚĆ  USŁUGOWA</t>
  </si>
  <si>
    <t>1.plan zagospodarowania przestrzennego</t>
  </si>
  <si>
    <t xml:space="preserve">   (podziały gruntu,wykazy zmian gruntowych, aktualizacja</t>
  </si>
  <si>
    <t xml:space="preserve">    mapy  i inne)</t>
  </si>
  <si>
    <t>ADMINISTRACJA   PUBLICZNA</t>
  </si>
  <si>
    <t>URZĘDY NACZELNYCH ORGANÓW WŁADZY PAŃSTWOWEJ....</t>
  </si>
  <si>
    <t>BEZPIECZEŃSTWO  PUBLICZNE  I OCHRONA PRZECIWPOŻAROWA</t>
  </si>
  <si>
    <t>Dział 757</t>
  </si>
  <si>
    <t>OBSŁUGA DŁUGU PUBLICZNEGO</t>
  </si>
  <si>
    <t>RÓŻNE ROZLICZENIA</t>
  </si>
  <si>
    <t>Dział 851</t>
  </si>
  <si>
    <t>1.utrzymanie świetlic szkolnych ( szkoła nr 1 i gimnazjum)</t>
  </si>
  <si>
    <t>GOSPODARKA  KOMUNALNA I OCHRONA ŚRODOWISKA</t>
  </si>
  <si>
    <t>KULTURA  I OCHRONA DZIEDZICTWA NARODOWEGO</t>
  </si>
  <si>
    <t>1.dotacja dla Międzynarodowego Domu Kultury</t>
  </si>
  <si>
    <t>Dział 926</t>
  </si>
  <si>
    <t>Dział 921</t>
  </si>
  <si>
    <t xml:space="preserve">P r z y c h o d y   ogółem wynoszą </t>
  </si>
  <si>
    <t>W y d a t k i   ogółem wynoszą</t>
  </si>
  <si>
    <t>Zakład Ochrony Środowiska w Międzyzdrojach</t>
  </si>
  <si>
    <t>Gminny Fundusz Ochrony Środowiska i Gospodarki Wodnej</t>
  </si>
  <si>
    <t>Dział O10</t>
  </si>
  <si>
    <t xml:space="preserve">   zadań z zakresu spraw obywatelskich/ewid.ludn. i USC/ </t>
  </si>
  <si>
    <t xml:space="preserve">     szkoła podstawowa nr 1</t>
  </si>
  <si>
    <t xml:space="preserve">   z pomocy społecznej</t>
  </si>
  <si>
    <t xml:space="preserve">  Stowarzyszenie Gmin Polskich Euroregionu  POMERANIA</t>
  </si>
  <si>
    <t xml:space="preserve">   mianowanego</t>
  </si>
  <si>
    <t xml:space="preserve">1/sprzedaż usług: oczyszczanie miasta, wywóz </t>
  </si>
  <si>
    <t xml:space="preserve">   nieczystości, utrzymanie zieleni miejskiej, cmentarzy,</t>
  </si>
  <si>
    <t>1.wpływy z rocznej opłaty za  użytkowanie i użytk.wieczyste</t>
  </si>
  <si>
    <t xml:space="preserve">     i różne dochody</t>
  </si>
  <si>
    <t xml:space="preserve">2.opracowania geodezyjne i kartograficzne </t>
  </si>
  <si>
    <t>2.utrzymanie Rady Miejskiej</t>
  </si>
  <si>
    <t xml:space="preserve">3.utrzymanie  Urzędu Miasta </t>
  </si>
  <si>
    <t>GOSPODARKA KOMUNALNA I OCHRONA ŚRODOWISKA</t>
  </si>
  <si>
    <t xml:space="preserve">    z tego:</t>
  </si>
  <si>
    <t xml:space="preserve">    D1.1. Kredyty bankowe</t>
  </si>
  <si>
    <t xml:space="preserve">    D2.1. Spłaty kredytów</t>
  </si>
  <si>
    <t>2.dochody z najmu i dzierżawy skł.majątkowych Skarbu</t>
  </si>
  <si>
    <t>3.wpływy z tyt.przekształcenia prawa użytk. wieczyst.</t>
  </si>
  <si>
    <t>I  OD INNYCH JEDNOSTEK NIEPOSIADAJĄCYCH OSOBOWOŚCI</t>
  </si>
  <si>
    <t>Dział 852</t>
  </si>
  <si>
    <t>POMOC  SPOŁECZNA</t>
  </si>
  <si>
    <t>POMOC SPOŁECZNA</t>
  </si>
  <si>
    <t>PRAWNEJ ORAZ WYDATKI ZWIĄZANE Z ICH POBOREM</t>
  </si>
  <si>
    <t xml:space="preserve">   z tytułu:</t>
  </si>
  <si>
    <t xml:space="preserve">     1.opłaty za przedszkole </t>
  </si>
  <si>
    <t xml:space="preserve">     2.odpłatności za posiłki w przedszkolu</t>
  </si>
  <si>
    <t>4.wpłaty z tyt.odpłatnego nabycia prawa własności</t>
  </si>
  <si>
    <t xml:space="preserve">   oraz prawa użytkowania wieczystego nieruchomości</t>
  </si>
  <si>
    <t>dotacja na prowadzenie i aktualizację rejestu wyborców</t>
  </si>
  <si>
    <t>wpływy z tytułu mandatów od ludności</t>
  </si>
  <si>
    <t>2.dotacja z przeznaczeniem na składki na ubezpieczenie</t>
  </si>
  <si>
    <t xml:space="preserve">   zdrowotne opłacane za osoby pobierające niektóre  świadczenia</t>
  </si>
  <si>
    <t>4.dotacja z przeznaczeniem na zasiłki okresowe</t>
  </si>
  <si>
    <t>5.dotacja na utrzymanie  Ośrodka Pomocy Społecznej</t>
  </si>
  <si>
    <t>6.wpływy z usług opiekuńczych</t>
  </si>
  <si>
    <t xml:space="preserve">    nauczycieli rencistów i emerytów</t>
  </si>
  <si>
    <t>1. utrzymanie dróg publicznych gminnych</t>
  </si>
  <si>
    <t xml:space="preserve">    Problemów Alkoholowych</t>
  </si>
  <si>
    <t>TRANSPORT  I ŁĄCZNOŚĆ</t>
  </si>
  <si>
    <t xml:space="preserve">   przysług.osobom fizycznym w prawo własności</t>
  </si>
  <si>
    <t xml:space="preserve">  Związek Miast Polskich</t>
  </si>
  <si>
    <t>3.utrzymanie oddziału przedszkolnego w szkole nr 2</t>
  </si>
  <si>
    <t>2.koszty związane z wynajmem gimnazjum w okresie wakacji</t>
  </si>
  <si>
    <t>3.oświetlenie ulic (energia)</t>
  </si>
  <si>
    <t xml:space="preserve">4.konserwacja oświetlenia </t>
  </si>
  <si>
    <t>GOSPODARKA MIESZKANIOWA</t>
  </si>
  <si>
    <t xml:space="preserve">  Związek Gmin Wyspy Wolin</t>
  </si>
  <si>
    <t>1. zwalczanie narkomanii</t>
  </si>
  <si>
    <t>2. realizacja programu Gminnej Komisji Rozwiązywania</t>
  </si>
  <si>
    <t xml:space="preserve">   a/opłata za użytkowanie dna morskiego</t>
  </si>
  <si>
    <t xml:space="preserve">    b/utrzymanie budynków i lokali ( mieszkalnych i użytkowych)</t>
  </si>
  <si>
    <t>1.prowizja bankowa - kredyt w rachunku bieżącym</t>
  </si>
  <si>
    <t>1.urządzenie cmentarza w Międzyzdrojach</t>
  </si>
  <si>
    <t xml:space="preserve">Dział 921 </t>
  </si>
  <si>
    <t>KULTURA I OCHRONA DZIEDZICTWA NARODOWEGO</t>
  </si>
  <si>
    <t xml:space="preserve">3/dotacja przedmiotowa z budżetu z przeznaczeniem na </t>
  </si>
  <si>
    <t>1. dotacja na zad.zlecone z przeznaczeniem na finansowanie</t>
  </si>
  <si>
    <t xml:space="preserve">   dla bezdomnych psów w schronisku</t>
  </si>
  <si>
    <t>Dział 010</t>
  </si>
  <si>
    <t>ROLNICTWO I ŁOWIECTWO</t>
  </si>
  <si>
    <t xml:space="preserve">na realizację zadania inwestycyjnego pn."Uporządkowanie </t>
  </si>
  <si>
    <t>gospodarki wodno-ściekowej na obszarze Związku Gmin Wyspy</t>
  </si>
  <si>
    <t>Wolin (udział gminy Międzyzdroje w realizacji zadania)</t>
  </si>
  <si>
    <t xml:space="preserve">   nieruchomości i zarząd</t>
  </si>
  <si>
    <t>5.wpływy ze sprzedaży mienia komunalnego:</t>
  </si>
  <si>
    <t>6.odsetki od nieterminowej płatności zobowiązań i inne dochody</t>
  </si>
  <si>
    <t xml:space="preserve">7.dotacja z przeznaczeniem na prowadzenie specjalistycznych </t>
  </si>
  <si>
    <t xml:space="preserve">9.wpływy z różnych dochodów i odsetek </t>
  </si>
  <si>
    <t>z czego przypada na:</t>
  </si>
  <si>
    <t>dochody bieżące</t>
  </si>
  <si>
    <t>dochody majątkowe</t>
  </si>
  <si>
    <t>2/wpływy z usług(odpłatność za obiady)</t>
  </si>
  <si>
    <t>1.gospodarka gruntami i nieruchomościami</t>
  </si>
  <si>
    <t xml:space="preserve">  Celowy Związek Gmin R-XXI</t>
  </si>
  <si>
    <t>3.odsetki od kredytu w rachunku bieżącym</t>
  </si>
  <si>
    <t xml:space="preserve">2.utrzymanie szkoły podstawowej nr 2 </t>
  </si>
  <si>
    <t>4.utrzymanie przedszkola</t>
  </si>
  <si>
    <t>6.dowożenie uczniów do szkół</t>
  </si>
  <si>
    <t>7.dokształcanie i doskonalenie nauczycieli</t>
  </si>
  <si>
    <t>8.stołówki szkolne</t>
  </si>
  <si>
    <t>4.dokształcanie i doskonalenie nauczycieli</t>
  </si>
  <si>
    <t>5.odpisy na zakładowy fundusz świadczeń socjalnych dla</t>
  </si>
  <si>
    <t>ustawy z dnia 13.09.1996 r. o utrzymaniu czystości</t>
  </si>
  <si>
    <t>i porządku w gminach</t>
  </si>
  <si>
    <t xml:space="preserve">   stadionu miejskiego</t>
  </si>
  <si>
    <t xml:space="preserve">9.nagrody dla uczniów </t>
  </si>
  <si>
    <t>10.nagrody dla dyrektorów szkół oraz nagroda Burmistrza dla nauczycieli</t>
  </si>
  <si>
    <t xml:space="preserve">11.umowy o dzieło-komisja kwalifikacyjna na nauczyciela </t>
  </si>
  <si>
    <t>13.odpisy na zakładowy fundusz świadczeń socjalnych dla</t>
  </si>
  <si>
    <t>plan</t>
  </si>
  <si>
    <t>i Miasta Świnoujście na utworzenie i funkcjonowanie</t>
  </si>
  <si>
    <t>Europejskiego Centrum Różnorodności Biologicznej</t>
  </si>
  <si>
    <t>Wolin-Uznam</t>
  </si>
  <si>
    <t xml:space="preserve"> a/ sprzedaży nieruchomości </t>
  </si>
  <si>
    <t>3/wpływy z usług (inne)</t>
  </si>
  <si>
    <t>4/ odsetki od środków na rachunkach bankowych</t>
  </si>
  <si>
    <t>5/ wpływy - przedszkole</t>
  </si>
  <si>
    <t xml:space="preserve">   usług opiekuńczych dla osób z zaburzeniami psychicznymi</t>
  </si>
  <si>
    <t>1.utrzymanie kąpieliska strzeżonego</t>
  </si>
  <si>
    <t>2.utrzymanie Europejskiego Centrum Różnorodności Biologicznej</t>
  </si>
  <si>
    <t xml:space="preserve">   ( wyceny nieruchomości,ogłoszenia o przetargach i inne)</t>
  </si>
  <si>
    <t xml:space="preserve">  Związek Miast Bałtyckich</t>
  </si>
  <si>
    <t>1.aktualizacja rejestru wyborców</t>
  </si>
  <si>
    <t>3. dotacja z przeznaczeniem na dofinansowanie opieki nad dziećmi(TPD)</t>
  </si>
  <si>
    <t>1.utrzymanie sekcji sportowych</t>
  </si>
  <si>
    <t>Lubin</t>
  </si>
  <si>
    <t>na budowę budynku mieszkalnego "dokończenie budowy</t>
  </si>
  <si>
    <t>istniejącego budynku w trakcie budowy oraz dobudowa segmentu</t>
  </si>
  <si>
    <t>mieszkalnego przy ul.M.C.Skłodowskiej"</t>
  </si>
  <si>
    <t>P r z y c h o d y   ogólem wynoszą</t>
  </si>
  <si>
    <t>Wydatki   ogółem wynoszą</t>
  </si>
  <si>
    <t>2/wynagrodzenia bezosobowe</t>
  </si>
  <si>
    <t>dezynfekcja,wywóz odpadów na wysypisko,obsługa</t>
  </si>
  <si>
    <t>3/ zakup materiałów,paliwa,części zamiennych,</t>
  </si>
  <si>
    <t>4/ zakup energii</t>
  </si>
  <si>
    <t>5/ zakup usług: prowizje bankowe,ścieki,deratyzacja,</t>
  </si>
  <si>
    <t>7/ podatek VAT</t>
  </si>
  <si>
    <t>8/wpłaty na PFRON</t>
  </si>
  <si>
    <t>9/odpis na ZFŚS</t>
  </si>
  <si>
    <t>13/ubezpieczenia</t>
  </si>
  <si>
    <t>14/usługi telefonii stacjonarnej i komórkowej</t>
  </si>
  <si>
    <t xml:space="preserve">racjonalna godpodarka odpadami i selektywna ich zbiórka </t>
  </si>
  <si>
    <t>12.dotacja na pokrycie kosztów usług opiekuńczych  dla osób</t>
  </si>
  <si>
    <t>2.dotacja dla  Miejskiej Biblioteki Publicznej</t>
  </si>
  <si>
    <t>1.rozbudowa hali sportowej przy szkole podstawowej</t>
  </si>
  <si>
    <t>2/odsetki</t>
  </si>
  <si>
    <t>1/dotacja-wspieranie realizacji zadań w zakresie edukacji ekologicznej -</t>
  </si>
  <si>
    <t>15/podróże służbowe</t>
  </si>
  <si>
    <t>struktura</t>
  </si>
  <si>
    <t>2.wpływy z tytułu podatku od nieruchomości - stawki pozostawiono bez zmian,</t>
  </si>
  <si>
    <t>5.dotacje celowe na realizację zadań z zakresu administracji rządowej zaplanowano wg pisma Wojewody</t>
  </si>
  <si>
    <t>b/wydatki inwestycyjne</t>
  </si>
  <si>
    <t>A.Budżet po stronie dochodów wynosi</t>
  </si>
  <si>
    <t>B.Budżet po stronie wydatków wynosi</t>
  </si>
  <si>
    <t>C.Wynik (A-B) deficyt budżetu wynosi</t>
  </si>
  <si>
    <t>D.Finansowanie (D1-D2)</t>
  </si>
  <si>
    <t>D1. Przychody ogółem wynoszą:</t>
  </si>
  <si>
    <t xml:space="preserve">    D1.2.Pożyczki</t>
  </si>
  <si>
    <t>D2. Rozchody ogółem wynoszą:</t>
  </si>
  <si>
    <t xml:space="preserve">    D2.3. Udzielenie pożyczki (ZOŚ)</t>
  </si>
  <si>
    <t>1.opłata przyłączeniowa do sieci gazowej Zalesie-Wicko-Wapnica-</t>
  </si>
  <si>
    <t>1.remont mieszkań komunalnych-MTBS</t>
  </si>
  <si>
    <t>2.aktualizacja projektu budowlanego i opracowanie projektu</t>
  </si>
  <si>
    <t>3.budowa oświetlenia w ul.Wodziczki i Nowomyśliwskiej</t>
  </si>
  <si>
    <t>w Międzyzdrojach wraz z opłatą przyłączeniową</t>
  </si>
  <si>
    <t>sanitarnych w Międzyzdrojach</t>
  </si>
  <si>
    <t>2.dotacja celowa dla Międzynarodowgo Domu Kultury z przeznaczeniem</t>
  </si>
  <si>
    <t xml:space="preserve">Stan środków obrotowych na początek </t>
  </si>
  <si>
    <t>Stan środków obrotowych na koniec roku</t>
  </si>
  <si>
    <t xml:space="preserve">Stan środków obrotowych na początek  </t>
  </si>
  <si>
    <t xml:space="preserve">2/dotacja przedmiotowa z budżetu z przeznaczeniem na </t>
  </si>
  <si>
    <t xml:space="preserve">   wysypiska , itp.</t>
  </si>
  <si>
    <t>1/ wynagrodzenia i składki ZUS pracowników</t>
  </si>
  <si>
    <t>prawna,usługi informatyczne,monitoring i inne</t>
  </si>
  <si>
    <t>10/ zakup usług remontowych(remonty samochodów)</t>
  </si>
  <si>
    <t>11/zakup usług zdrowotnych</t>
  </si>
  <si>
    <t>12/zakup usług dostępu do sieci internetowej</t>
  </si>
  <si>
    <t>16/pozostałe podatki i opłaty na rzecz budżetów JST</t>
  </si>
  <si>
    <t>17/zakup materiałów papierniczych</t>
  </si>
  <si>
    <t>18/zakup akcesoriów komputerowych</t>
  </si>
  <si>
    <t>2 załączniki</t>
  </si>
  <si>
    <t xml:space="preserve">   c/ zwrot bonifikat</t>
  </si>
  <si>
    <t xml:space="preserve">   d/ sprzedaż gruntu</t>
  </si>
  <si>
    <t xml:space="preserve">   e/ sprzedaż lokali użytkowych</t>
  </si>
  <si>
    <t xml:space="preserve">      przy ul.Dąbrówki 13, działka nr 4/1 o pow.1 521 m2,</t>
  </si>
  <si>
    <t xml:space="preserve">opłaty wnoszone przez właścicieli nieruchomości za </t>
  </si>
  <si>
    <t xml:space="preserve">5.utrzymanie gimnazjum ( w tym: utrzymanie </t>
  </si>
  <si>
    <t xml:space="preserve">   dofinansowanie kosztów związanych z utrzymaniem</t>
  </si>
  <si>
    <t xml:space="preserve">   dofinansowanie kosztów związanych z utrzymaniem </t>
  </si>
  <si>
    <t xml:space="preserve">   cmentarza</t>
  </si>
  <si>
    <t xml:space="preserve">  oraz likwidacja zanieczyszczeń wód gruntowych</t>
  </si>
  <si>
    <t>Dział 400</t>
  </si>
  <si>
    <t xml:space="preserve">WYTWARZANIE I ZAOPATRYWANIE W ENERGIĘ </t>
  </si>
  <si>
    <t>ELEKTRYCZNĄ, GAZ I WODĘ</t>
  </si>
  <si>
    <t>1.weryfikacja taryf zaopatrzenia w wodę i ścieki-audytor</t>
  </si>
  <si>
    <t xml:space="preserve">   zewnętrzny</t>
  </si>
  <si>
    <t>4.utrzymanie Straży Miejskiej</t>
  </si>
  <si>
    <t>5.zakup wody na cele przeciwpożarowe</t>
  </si>
  <si>
    <t xml:space="preserve">   zarządzania kryzysowego</t>
  </si>
  <si>
    <t>2.stypendia sportowe wraz z pochodnymi</t>
  </si>
  <si>
    <t>5.dotacje dla stowarzyszeń i klubów sportowych</t>
  </si>
  <si>
    <t>Objaśnienia do budżetu Gminy Międzyzdroje na rok 2010</t>
  </si>
  <si>
    <t>Do opracowania budżetu na rok 2010 przyjęto następujące dane i założenia:</t>
  </si>
  <si>
    <t>1.przewidywane wykonanie budżetu za 2009 r.,</t>
  </si>
  <si>
    <t>3.wskaźnik inflacji założono w wysokości 1,00%,</t>
  </si>
  <si>
    <t>4.przewiduje się wzrost wynagrodzeń osobowych pracowników w 2010 roku o 1,00%,</t>
  </si>
  <si>
    <t>Zachodniopomorskiego Nr FB.1-KK-3010/32/2009 z dnia 22.10.2009 r.,pisma Krajowego Biura Wyborczego</t>
  </si>
  <si>
    <t>Nr DSZ-3101-46/09 z dnia 6.10.2009 r.</t>
  </si>
  <si>
    <t>6.na podstawie pisma Ministra Finansów Nr ST3-4820/19/2009 z dnia 08.10.2009 r.zaplanowano</t>
  </si>
  <si>
    <t xml:space="preserve">7.ustala się spłaty rat kredytów w wysokości 985 100 zł oraz spłatę raty pożyczki w wysokości 225 585 zł, </t>
  </si>
  <si>
    <t>które zamierza się sfinansować z dochodów bieżących w wysokości 1 210 685 zł.</t>
  </si>
  <si>
    <t>8.wydatki bieżące w wysokości 29 744 260,27 zł planuje się sfinansować z dochodów bieżących</t>
  </si>
  <si>
    <t>w wysokości 29 744 260,27 zł.</t>
  </si>
  <si>
    <t>9.wydatki inwestycyjne planuje się na kwotę 26 541 688,18 zł i zamierza się sfinansować z dochodów</t>
  </si>
  <si>
    <t>majątkowych na kwotę 14 480 194,65 zł, z dochodów bieżących na kwotę 5 061 493,53 zł</t>
  </si>
  <si>
    <t>oraz z emisji obligacji komunalnych na kwotę 7 000 000 zł.</t>
  </si>
  <si>
    <t>11.dochody bieżące na kwotę 36 016 438,80 zł przeznacza się na:</t>
  </si>
  <si>
    <t>a/wydatki bieżące</t>
  </si>
  <si>
    <t>c/spłatę rat kredytów i pożyczki</t>
  </si>
  <si>
    <t xml:space="preserve">    D1.3.Papiery wartościowe (obligacje)</t>
  </si>
  <si>
    <t xml:space="preserve">    D1.4. Spłaty pożyczek udzielonych</t>
  </si>
  <si>
    <t xml:space="preserve">    D1.5. Wolne środki </t>
  </si>
  <si>
    <t>formy turystycznego zagospodarowania Promenady Gwiazd</t>
  </si>
  <si>
    <t>Przewiduje się dochody z tytułu:</t>
  </si>
  <si>
    <t>1.dotacji rozwojowej na zadanie pn."Wprowdzenie nowej</t>
  </si>
  <si>
    <t>2.dotacji rozwojowej na zadanie pn."Budowa infrastruktury</t>
  </si>
  <si>
    <t>Portu Jachtowego w Wapnicy"</t>
  </si>
  <si>
    <t xml:space="preserve">W roku 2010 planuje się sprzedać następujące </t>
  </si>
  <si>
    <t xml:space="preserve">   1/nieruchomości niezabudowane położone w Wicku, ul.Żwirowa,</t>
  </si>
  <si>
    <t xml:space="preserve">   2/nieruchomość zabudowana  położona w Lubinie przy ul.Głównej 9-10,</t>
  </si>
  <si>
    <t xml:space="preserve">     działki o nr 120/29,120/30,120/33,120/34,120/35 o łącznej pow.6 143 m2,</t>
  </si>
  <si>
    <t xml:space="preserve">    3/nieruchomość zabudowana położona w Międzyzdrojach przy</t>
  </si>
  <si>
    <t xml:space="preserve">     działka nr 137/6 o pow.1 475 m2,</t>
  </si>
  <si>
    <t xml:space="preserve">      działka nr 574 i 572/2 o pow.423 m2,</t>
  </si>
  <si>
    <t xml:space="preserve">      Kościuszki 4,działka nr 328 o pow.839 m2,</t>
  </si>
  <si>
    <t xml:space="preserve">      Pomorskich 24,działka nr 341 o pow.494 m2,</t>
  </si>
  <si>
    <t xml:space="preserve">     działka nr 385 o pow.1 152 m2,</t>
  </si>
  <si>
    <t>W związku z obserwowanymi trudnościami z finansowaniem zakupu</t>
  </si>
  <si>
    <t>nieruchomości przez banki i prawdopodobieństwem nie sfinalizowania</t>
  </si>
  <si>
    <t>wszystkich w/w transakcji sprzedaży w roku 2010 szacuje się realizację</t>
  </si>
  <si>
    <t>dochodów z tytułu sprzedaży nieruchomości na poziomie 60%-65%.</t>
  </si>
  <si>
    <t>Ponadto przewiduje się podjęcie kolejnych działań zmierzających do sprzedaży</t>
  </si>
  <si>
    <t>o pow.22 880 m2.</t>
  </si>
  <si>
    <t>7.wynajem lokali mieszkalnych i użytkowych</t>
  </si>
  <si>
    <t xml:space="preserve">2. wpływy z różnych dochodów </t>
  </si>
  <si>
    <t>3. wpływy ze sprzedaży ciepła dla BGŻ</t>
  </si>
  <si>
    <t>4. odsetki od środków na rachunkach bankowych</t>
  </si>
  <si>
    <t>DOCHODY  OD  OSÓB  PRAWNYCH, OD OSÓB FIZYCZNYCH</t>
  </si>
  <si>
    <t>7.wpływy z różnych opłat (upomnienia )</t>
  </si>
  <si>
    <t xml:space="preserve">    opłata adiacencka)</t>
  </si>
  <si>
    <t>15.wpływy z innych lokalnych opłat (opłata za zajęcie pasa drogowego,</t>
  </si>
  <si>
    <t>16.wpływy z opłat za koncesje i licencje</t>
  </si>
  <si>
    <t>17.udziały gminy w podatku dochodowym od osób fizycznych</t>
  </si>
  <si>
    <t>18.udziały gminy w podatku dochodowym od osób prawnych</t>
  </si>
  <si>
    <t>Minister Finansów pismem nr ST3/4820/19/2009 z dnia 08.10.2009 r.</t>
  </si>
  <si>
    <t>poinformował o planowanej subwencji ogólnej na rok 2010</t>
  </si>
  <si>
    <t>3.część wyrównawczą</t>
  </si>
  <si>
    <t xml:space="preserve">     z czego przypada na:</t>
  </si>
  <si>
    <t xml:space="preserve">     3.odsetek</t>
  </si>
  <si>
    <t>6/środki z Funduszu Rozwoju Kultury Fizycznej</t>
  </si>
  <si>
    <t>8.dochody związane z realizacją zadań z zakresu administracji rządowej</t>
  </si>
  <si>
    <t xml:space="preserve">   oraz innych zadań zleconych ustawami(fundusz alimentacyjny)</t>
  </si>
  <si>
    <t>3. dotacja na zasiłki stałe</t>
  </si>
  <si>
    <t>1.dotacja z przeznaczeniem na świadczenia rodzinne,świadczenia</t>
  </si>
  <si>
    <t xml:space="preserve">   z funduszu alimentacyjnego, składki na ubezpieczenia emerytalne</t>
  </si>
  <si>
    <t xml:space="preserve">   i rentowe z ubezpieczenia społecznego</t>
  </si>
  <si>
    <t>Dochody stanowią:</t>
  </si>
  <si>
    <t>1.wpływy z najmu budynku gimnazjum w okresie wakacji</t>
  </si>
  <si>
    <t>2.wpływy z usług (czesne i sprzedaż obiadów-szkoła nr 2)</t>
  </si>
  <si>
    <t>Przewiduje się dochody:</t>
  </si>
  <si>
    <t>1.z opłaty produktowej</t>
  </si>
  <si>
    <t>2.z wpływów za sprzątanie</t>
  </si>
  <si>
    <t xml:space="preserve">2.odszkodowania </t>
  </si>
  <si>
    <t xml:space="preserve">    będących w zarządzaniu MTBS</t>
  </si>
  <si>
    <t>4.kwalifikacja wojskowa</t>
  </si>
  <si>
    <t>6.diety sołtysów</t>
  </si>
  <si>
    <t>7.wynagrodzenia osobowe (roboty publiczne refundowane)</t>
  </si>
  <si>
    <t>8.wydatki związane z  eksploatacją kotłowni urzędu</t>
  </si>
  <si>
    <t>9.wpłaty gmin na rzecz związków celowych, w tym:</t>
  </si>
  <si>
    <t>10.inne usługi</t>
  </si>
  <si>
    <t>11.składka członkowska-ZROT</t>
  </si>
  <si>
    <t>1.wpłata na rzecz funduszu celowego Straży Granicznej</t>
  </si>
  <si>
    <t>DOCHODY OD OSÓB PRAWNYCH,OD OSÓB FIZYCZNYCH</t>
  </si>
  <si>
    <t>I OD INNYCH JEDNOSTEK NIEPOSIADAJĄCYCH</t>
  </si>
  <si>
    <t>OSOBOWOŚCI PRAWNEJ ORAZ WYDATKI ZWIĄZANE</t>
  </si>
  <si>
    <t>Z ICH POBOREM</t>
  </si>
  <si>
    <t>1.wynagrodzenia z tyt.inkasa podatków i opłat lokalnych</t>
  </si>
  <si>
    <t>2.odsetki od kredytów,pożyczek i obligacji</t>
  </si>
  <si>
    <t>4.obsługa emisji obligacji</t>
  </si>
  <si>
    <t>1.rezerwa ogólna</t>
  </si>
  <si>
    <t xml:space="preserve">2.rezerwa celowa-realizacja zadań własnych z zakresu </t>
  </si>
  <si>
    <t>14.utrzymanie boiska Orlik-szkoła nr 2</t>
  </si>
  <si>
    <t xml:space="preserve">1.świadczenia rodzinne, świadczenie z funduszu alimentacyjnego </t>
  </si>
  <si>
    <t xml:space="preserve">   oraz składki na ubezpieczenia emeryt.i rent.z ubezp.społecznego</t>
  </si>
  <si>
    <t>2.składki na ubezpieczenia zdrowotne(zadania własne-14 000 zł,zlecone-2000 zł)</t>
  </si>
  <si>
    <t>3.świadczenia społeczne- zadania  własne (zasiłki celowe)</t>
  </si>
  <si>
    <t>4.świadczenia społeczne-zadania własne (zasiłki okresowe)</t>
  </si>
  <si>
    <t>5.składki na ubezpieczenia społeczne(zadania własne)</t>
  </si>
  <si>
    <t>6.zasiłki stałe-(zadania własne)</t>
  </si>
  <si>
    <t>7.opłaty za pobyt w domu pomocy społecznej</t>
  </si>
  <si>
    <t>8.dodatki mieszkaniowe</t>
  </si>
  <si>
    <t xml:space="preserve">9.utrzymanie Ośrodka Pomocy Społecznej </t>
  </si>
  <si>
    <t xml:space="preserve">10.utrzymanie opiekunek, w tym na zadania zlecone polegające </t>
  </si>
  <si>
    <t>na prowadzeniu specjalistycznych usług opiekuńczych-44 000 zł</t>
  </si>
  <si>
    <t>11.świadczenia społeczne-posiłek dla potrzebujących</t>
  </si>
  <si>
    <t>3.pomoc materialna dla uczniów</t>
  </si>
  <si>
    <t>6.wczesne wspomaganie rozwoju dziecka(szkoła nr 2)</t>
  </si>
  <si>
    <t xml:space="preserve">13.dotacja przedmiotowa dla ZOŚ-dofinansowanie usługi wywozu </t>
  </si>
  <si>
    <t xml:space="preserve">    odpadów komunalnych</t>
  </si>
  <si>
    <t>3.obozy sportowe</t>
  </si>
  <si>
    <t xml:space="preserve">1.wprowadzenie nowej formy turystycznego zagospodarowania </t>
  </si>
  <si>
    <t>Promenady Gwiazd w Międzyzdrojach</t>
  </si>
  <si>
    <t>2.remont ul.Zdrojowej i Morskiej w Międzyzdrojach</t>
  </si>
  <si>
    <t>3.opłata za przyłączenie do sieci energetycznej-parking przy</t>
  </si>
  <si>
    <t>ul.Komunalnej</t>
  </si>
  <si>
    <t xml:space="preserve">4.budowa infrastruktury portu jachtowego w Wapnicy </t>
  </si>
  <si>
    <t>1.dotacja dla Powiatu Kamieńskiego z przeznaczeniem</t>
  </si>
  <si>
    <t>na termomodernizację budynku użyteczności publicznej-Domu</t>
  </si>
  <si>
    <t>Wczasów Dziecięcych w Międzyzdrojach</t>
  </si>
  <si>
    <t>2.zakup komputerów</t>
  </si>
  <si>
    <t>4.zakup programów komputerowych</t>
  </si>
  <si>
    <t>5.zakup skanera</t>
  </si>
  <si>
    <t>6.zakup serwera wraz z macierzą dyskową i dyskami</t>
  </si>
  <si>
    <t>3.zakup oprogramowania do zarządzania i ochrony danych</t>
  </si>
  <si>
    <t xml:space="preserve"> nr 1 w Międzyzdrojach,ul.Leśna 17</t>
  </si>
  <si>
    <t>w zawiązku z utworzeniem "przedszkola "przy szkole nr 2 w ramach</t>
  </si>
  <si>
    <t>wczesnego wspomagania rozwoju dziecka</t>
  </si>
  <si>
    <t>1.zakupy inwestycyjne z przeznaczeniem na przygotowanie sali i sanitariatów</t>
  </si>
  <si>
    <t xml:space="preserve">1.dotacja celowa dla Związku Gmin Wyspy Wolin z przeznaczeniem </t>
  </si>
  <si>
    <t>2.modernizacja mechanicznej części oczyszczalni ścieków</t>
  </si>
  <si>
    <t>4.opracowanie dokumentacji technicznej na budowę hali targowej</t>
  </si>
  <si>
    <t>przy ul.Bohaterów Warszawy wraz z opłata przyłączeniową</t>
  </si>
  <si>
    <t>5.budowa zejścia na plażę z pochylnią dla osób niepełnosprawnych</t>
  </si>
  <si>
    <t>1.dotacja celowa dla Międzynarodowgo Domu Kultury z przeznaczeniem</t>
  </si>
  <si>
    <t>na przebudowę wraz z rozbudową i nadbudową budynku Wiklina w Wapnicy</t>
  </si>
  <si>
    <t xml:space="preserve">na remont i malowanie elewacji zewnętrznej i okien budynku MDK </t>
  </si>
  <si>
    <t>1/wpływy z różnych opłat (odpisy na rzecz GFOŚ-35 000,-</t>
  </si>
  <si>
    <t>wykonywane przez gminę przejętych od nich obowiązków-10 000,-)</t>
  </si>
  <si>
    <t>2/ zakup pomocy naukowych i dydaktycznych związanych</t>
  </si>
  <si>
    <t>z edukacją ekologiczną oraz nagród w konkursach,akcjach,</t>
  </si>
  <si>
    <t>związanych z edukacją ekologiczną i propagowaniem działań</t>
  </si>
  <si>
    <t>proekologicznych</t>
  </si>
  <si>
    <t xml:space="preserve">6/ nieprzewidziane zdarzenia losowe </t>
  </si>
  <si>
    <t>3/ opinie dotyczące drzewostanu,ekspertyzy,urządzenie i utrzymanie</t>
  </si>
  <si>
    <t>4/ realizacja zadania o którym mowa w art.6 ust.6</t>
  </si>
  <si>
    <t>7/ konserwacja rowów melioracyjnych</t>
  </si>
  <si>
    <t>8/ likwidacja dzikich wysypisk</t>
  </si>
  <si>
    <t>9/ zbiórka odpadów niebezpiecznych</t>
  </si>
  <si>
    <t>10/usuwanie wyrobów zawierających azbest</t>
  </si>
  <si>
    <t>11/ogłoszenia,broszury informacyjne</t>
  </si>
  <si>
    <t>12/ obsługa rachunku bankowego</t>
  </si>
  <si>
    <t xml:space="preserve">13/aktualizacja operatu wodnoprawnego na wprowadzanie do wód i do ziemi </t>
  </si>
  <si>
    <t>wód opadowych i roztopowych z terenu ulic w Międzyzdrojach</t>
  </si>
  <si>
    <t xml:space="preserve">14/opracowanie studium uwarunkowań ilościowych zaopatrywania </t>
  </si>
  <si>
    <t>w wodę Gminy Międzyzdroje</t>
  </si>
  <si>
    <t xml:space="preserve">4/dotacja przedmiotowa z budżetu z przeznaczeniem na </t>
  </si>
  <si>
    <t xml:space="preserve">   dofinansowanie kosztów związanych z wywozem</t>
  </si>
  <si>
    <t xml:space="preserve">   odpadów komunalnych</t>
  </si>
  <si>
    <t xml:space="preserve">    pojemników,sadzonek itp.</t>
  </si>
  <si>
    <t>19/wydatki inwestycyjne</t>
  </si>
  <si>
    <t>6/ podatek od nieruchomości,podatek leśny,podatek</t>
  </si>
  <si>
    <t>od środków transportowych</t>
  </si>
  <si>
    <t xml:space="preserve">subwencję ogólną (w tym:część oświatowa, równoważąca i wyrównawcza) oraz udziały w podatku </t>
  </si>
  <si>
    <t>dochodowym od osób fizycznych.</t>
  </si>
  <si>
    <t>Opis  realizacji planów finansowych funduszu celowego i zakładu budżetowego.</t>
  </si>
  <si>
    <t>terenów zieleni,zadrzewień,parków</t>
  </si>
  <si>
    <t xml:space="preserve">5/ ochrona zwierząt </t>
  </si>
  <si>
    <t>UKS Chrobry 63 300 zł)</t>
  </si>
  <si>
    <t xml:space="preserve">   4/nieruchomość niezabudowana położona w Wapnicy przy ul.Turkusowej,</t>
  </si>
  <si>
    <t xml:space="preserve">   5/nieruchomość niezabudowana położona w Międzyzdrojach przy ul.Kolejowej,</t>
  </si>
  <si>
    <t xml:space="preserve">   6/nieruchomość zabudowana położona w Międzyzdrojach przy ul.Tadeusza</t>
  </si>
  <si>
    <t xml:space="preserve">   7/nieruchomość zabudowana położona w Międzyzdrojach przy ul.Książąt</t>
  </si>
  <si>
    <t xml:space="preserve">   8/nieruchomość zabudowana położona w Międzyzdrojach przy ul.Ludowej 10,</t>
  </si>
  <si>
    <t xml:space="preserve">   GIMSPORT - 10.500 zł)</t>
  </si>
  <si>
    <t xml:space="preserve">10.dochody majątkowe na kwotę 14 480 194,65 zł przeznacza się na wydatki </t>
  </si>
  <si>
    <t>inwestycyjne</t>
  </si>
  <si>
    <t>nieruchomości niezabudowanej tzw.Kawczej Góry stanowiącej działkę nr 439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</si>
</sst>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i/>
      <sz val="8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10" fontId="0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8" fillId="0" borderId="0" xfId="0" applyFont="1" applyAlignment="1">
      <alignment/>
    </xf>
    <xf numFmtId="10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74"/>
  <sheetViews>
    <sheetView showGridLines="0" tabSelected="1" workbookViewId="0" topLeftCell="A82">
      <selection activeCell="B116" sqref="B116"/>
    </sheetView>
  </sheetViews>
  <sheetFormatPr defaultColWidth="9.00390625" defaultRowHeight="12.75"/>
  <cols>
    <col min="1" max="1" width="9.375" style="0" customWidth="1"/>
    <col min="2" max="2" width="13.75390625" style="0" customWidth="1"/>
    <col min="3" max="3" width="12.125" style="0" customWidth="1"/>
    <col min="4" max="4" width="11.75390625" style="4" customWidth="1"/>
    <col min="5" max="5" width="12.375" style="4" customWidth="1"/>
    <col min="6" max="6" width="14.625" style="0" customWidth="1"/>
    <col min="7" max="7" width="2.25390625" style="0" customWidth="1"/>
    <col min="8" max="8" width="13.875" style="4" customWidth="1"/>
    <col min="9" max="9" width="14.75390625" style="62" customWidth="1"/>
    <col min="10" max="10" width="13.125" style="0" bestFit="1" customWidth="1"/>
    <col min="11" max="11" width="11.75390625" style="0" bestFit="1" customWidth="1"/>
  </cols>
  <sheetData>
    <row r="3" spans="1:8" ht="15">
      <c r="A3" s="48" t="s">
        <v>297</v>
      </c>
      <c r="B3" s="48"/>
      <c r="C3" s="48"/>
      <c r="D3" s="48"/>
      <c r="E3" s="48"/>
      <c r="F3" s="48"/>
      <c r="G3" s="48"/>
      <c r="H3" s="48"/>
    </row>
    <row r="4" spans="1:8" ht="15">
      <c r="A4" s="13"/>
      <c r="B4" s="14"/>
      <c r="C4" s="14"/>
      <c r="D4" s="15"/>
      <c r="E4" s="15"/>
      <c r="F4" s="14"/>
      <c r="G4" s="14"/>
      <c r="H4" s="27"/>
    </row>
    <row r="5" spans="1:9" s="56" customFormat="1" ht="14.25">
      <c r="A5" s="55" t="s">
        <v>298</v>
      </c>
      <c r="D5" s="57"/>
      <c r="E5" s="57"/>
      <c r="H5" s="57"/>
      <c r="I5" s="63"/>
    </row>
    <row r="6" spans="1:9" s="56" customFormat="1" ht="14.25">
      <c r="A6" s="55"/>
      <c r="D6" s="57"/>
      <c r="E6" s="57"/>
      <c r="H6" s="57"/>
      <c r="I6" s="63"/>
    </row>
    <row r="7" spans="1:9" s="56" customFormat="1" ht="14.25">
      <c r="A7" s="55" t="s">
        <v>299</v>
      </c>
      <c r="D7" s="57"/>
      <c r="E7" s="57"/>
      <c r="H7" s="57"/>
      <c r="I7" s="63"/>
    </row>
    <row r="8" spans="1:9" s="56" customFormat="1" ht="14.25">
      <c r="A8" s="55"/>
      <c r="D8" s="57"/>
      <c r="E8" s="57"/>
      <c r="H8" s="57"/>
      <c r="I8" s="63"/>
    </row>
    <row r="9" spans="1:9" s="56" customFormat="1" ht="14.25">
      <c r="A9" s="55" t="s">
        <v>245</v>
      </c>
      <c r="D9" s="57"/>
      <c r="E9" s="57"/>
      <c r="H9" s="57"/>
      <c r="I9" s="63"/>
    </row>
    <row r="10" spans="1:9" s="56" customFormat="1" ht="14.25">
      <c r="A10" s="55"/>
      <c r="D10" s="57"/>
      <c r="E10" s="57"/>
      <c r="H10" s="57"/>
      <c r="I10" s="63"/>
    </row>
    <row r="11" spans="1:9" s="56" customFormat="1" ht="14.25">
      <c r="A11" s="55" t="s">
        <v>300</v>
      </c>
      <c r="D11" s="57"/>
      <c r="E11" s="57"/>
      <c r="H11" s="57"/>
      <c r="I11" s="63"/>
    </row>
    <row r="12" spans="1:9" s="56" customFormat="1" ht="14.25">
      <c r="A12" s="55"/>
      <c r="D12" s="57"/>
      <c r="E12" s="57"/>
      <c r="H12" s="57"/>
      <c r="I12" s="63"/>
    </row>
    <row r="13" spans="1:9" s="56" customFormat="1" ht="14.25">
      <c r="A13" s="55" t="s">
        <v>301</v>
      </c>
      <c r="D13" s="57"/>
      <c r="E13" s="57"/>
      <c r="H13" s="57"/>
      <c r="I13" s="63"/>
    </row>
    <row r="14" spans="1:9" s="56" customFormat="1" ht="14.25">
      <c r="A14" s="55"/>
      <c r="D14" s="57"/>
      <c r="E14" s="57"/>
      <c r="H14" s="57"/>
      <c r="I14" s="63"/>
    </row>
    <row r="15" spans="1:9" s="56" customFormat="1" ht="14.25">
      <c r="A15" s="55" t="s">
        <v>246</v>
      </c>
      <c r="D15" s="57"/>
      <c r="E15" s="57"/>
      <c r="H15" s="57"/>
      <c r="I15" s="63"/>
    </row>
    <row r="16" spans="1:9" s="56" customFormat="1" ht="14.25">
      <c r="A16" s="55" t="s">
        <v>302</v>
      </c>
      <c r="D16" s="57"/>
      <c r="E16" s="57"/>
      <c r="H16" s="57"/>
      <c r="I16" s="63"/>
    </row>
    <row r="17" spans="1:9" s="56" customFormat="1" ht="14.25">
      <c r="A17" s="55" t="s">
        <v>303</v>
      </c>
      <c r="D17" s="57"/>
      <c r="E17" s="57"/>
      <c r="H17" s="57"/>
      <c r="I17" s="63"/>
    </row>
    <row r="18" spans="1:9" s="56" customFormat="1" ht="14.25">
      <c r="A18" s="55"/>
      <c r="D18" s="57"/>
      <c r="E18" s="57"/>
      <c r="H18" s="57"/>
      <c r="I18" s="63"/>
    </row>
    <row r="19" spans="1:9" s="56" customFormat="1" ht="14.25">
      <c r="A19" s="55" t="s">
        <v>304</v>
      </c>
      <c r="D19" s="57"/>
      <c r="E19" s="57"/>
      <c r="H19" s="57"/>
      <c r="I19" s="63"/>
    </row>
    <row r="20" spans="1:9" s="56" customFormat="1" ht="14.25">
      <c r="A20" s="55" t="s">
        <v>458</v>
      </c>
      <c r="D20" s="57"/>
      <c r="E20" s="57"/>
      <c r="H20" s="57"/>
      <c r="I20" s="63"/>
    </row>
    <row r="21" spans="1:9" s="56" customFormat="1" ht="14.25">
      <c r="A21" s="55" t="s">
        <v>459</v>
      </c>
      <c r="D21" s="57"/>
      <c r="E21" s="57"/>
      <c r="H21" s="57"/>
      <c r="I21" s="63"/>
    </row>
    <row r="22" spans="1:9" s="56" customFormat="1" ht="14.25">
      <c r="A22" s="55"/>
      <c r="D22" s="57"/>
      <c r="E22" s="57"/>
      <c r="H22" s="57"/>
      <c r="I22" s="63"/>
    </row>
    <row r="23" spans="1:9" s="56" customFormat="1" ht="14.25">
      <c r="A23" s="55" t="s">
        <v>305</v>
      </c>
      <c r="D23" s="57"/>
      <c r="E23" s="57"/>
      <c r="H23" s="57"/>
      <c r="I23" s="63"/>
    </row>
    <row r="24" spans="1:9" s="56" customFormat="1" ht="14.25">
      <c r="A24" s="55" t="s">
        <v>306</v>
      </c>
      <c r="D24" s="57"/>
      <c r="E24" s="57"/>
      <c r="H24" s="57"/>
      <c r="I24" s="63"/>
    </row>
    <row r="25" spans="1:9" s="56" customFormat="1" ht="14.25">
      <c r="A25" s="55"/>
      <c r="D25" s="57"/>
      <c r="E25" s="57"/>
      <c r="H25" s="57"/>
      <c r="I25" s="63"/>
    </row>
    <row r="26" spans="1:9" s="56" customFormat="1" ht="14.25">
      <c r="A26" s="55" t="s">
        <v>307</v>
      </c>
      <c r="D26" s="57"/>
      <c r="E26" s="57"/>
      <c r="H26" s="57"/>
      <c r="I26" s="63"/>
    </row>
    <row r="27" spans="1:9" s="56" customFormat="1" ht="14.25">
      <c r="A27" s="55" t="s">
        <v>308</v>
      </c>
      <c r="D27" s="57"/>
      <c r="E27" s="57"/>
      <c r="H27" s="57"/>
      <c r="I27" s="63"/>
    </row>
    <row r="28" spans="1:9" s="56" customFormat="1" ht="14.25">
      <c r="A28" s="55"/>
      <c r="D28" s="57"/>
      <c r="E28" s="57"/>
      <c r="H28" s="57"/>
      <c r="I28" s="63"/>
    </row>
    <row r="29" spans="1:9" s="56" customFormat="1" ht="14.25">
      <c r="A29" s="55" t="s">
        <v>309</v>
      </c>
      <c r="D29" s="57"/>
      <c r="E29" s="57"/>
      <c r="H29" s="57"/>
      <c r="I29" s="63"/>
    </row>
    <row r="30" spans="1:9" s="56" customFormat="1" ht="14.25">
      <c r="A30" s="55" t="s">
        <v>310</v>
      </c>
      <c r="D30" s="57"/>
      <c r="E30" s="57"/>
      <c r="H30" s="57"/>
      <c r="I30" s="63"/>
    </row>
    <row r="31" spans="1:9" s="56" customFormat="1" ht="14.25">
      <c r="A31" s="55" t="s">
        <v>311</v>
      </c>
      <c r="D31" s="57"/>
      <c r="E31" s="57"/>
      <c r="H31" s="57"/>
      <c r="I31" s="63"/>
    </row>
    <row r="33" ht="12.75">
      <c r="A33" t="s">
        <v>470</v>
      </c>
    </row>
    <row r="34" spans="1:8" ht="12.75">
      <c r="A34" s="56" t="s">
        <v>471</v>
      </c>
      <c r="F34" s="30"/>
      <c r="H34" s="30">
        <v>14480194.65</v>
      </c>
    </row>
    <row r="35" spans="6:9" ht="12.75">
      <c r="F35" s="30"/>
      <c r="H35" s="30"/>
      <c r="I35" s="73"/>
    </row>
    <row r="36" spans="1:9" ht="12.75">
      <c r="A36" t="s">
        <v>312</v>
      </c>
      <c r="F36" s="30"/>
      <c r="H36" s="30"/>
      <c r="I36" s="73"/>
    </row>
    <row r="37" spans="1:9" ht="12.75">
      <c r="A37" t="s">
        <v>313</v>
      </c>
      <c r="F37" s="30"/>
      <c r="H37" s="30">
        <v>29744260.27</v>
      </c>
      <c r="I37" s="73"/>
    </row>
    <row r="38" spans="1:9" ht="12.75">
      <c r="A38" t="s">
        <v>247</v>
      </c>
      <c r="F38" s="30"/>
      <c r="H38" s="30">
        <v>5061493.53</v>
      </c>
      <c r="I38" s="73"/>
    </row>
    <row r="39" spans="1:9" ht="12.75">
      <c r="A39" t="s">
        <v>314</v>
      </c>
      <c r="F39" s="30"/>
      <c r="H39" s="30">
        <v>1210685</v>
      </c>
      <c r="I39" s="60"/>
    </row>
    <row r="40" spans="6:8" ht="12.75">
      <c r="F40" s="30"/>
      <c r="H40" s="30"/>
    </row>
    <row r="41" spans="1:9" s="16" customFormat="1" ht="12.75">
      <c r="A41" s="17" t="s">
        <v>248</v>
      </c>
      <c r="B41" s="17"/>
      <c r="C41" s="17"/>
      <c r="D41" s="18"/>
      <c r="E41" s="18"/>
      <c r="F41" s="29"/>
      <c r="H41" s="29">
        <v>50496633.45</v>
      </c>
      <c r="I41" s="62"/>
    </row>
    <row r="42" spans="1:8" ht="12.75">
      <c r="A42" s="17" t="s">
        <v>249</v>
      </c>
      <c r="B42" s="17"/>
      <c r="C42" s="17"/>
      <c r="D42" s="18"/>
      <c r="E42" s="18"/>
      <c r="F42" s="29"/>
      <c r="H42" s="29">
        <v>56285948.45</v>
      </c>
    </row>
    <row r="43" spans="1:8" ht="12.75">
      <c r="A43" s="17" t="s">
        <v>250</v>
      </c>
      <c r="B43" s="17"/>
      <c r="C43" s="17"/>
      <c r="D43" s="18"/>
      <c r="E43" s="18"/>
      <c r="F43" s="29"/>
      <c r="H43" s="29">
        <f>H41-H42</f>
        <v>-5789315</v>
      </c>
    </row>
    <row r="44" spans="1:8" ht="12.75">
      <c r="A44" s="17" t="s">
        <v>251</v>
      </c>
      <c r="B44" s="17"/>
      <c r="C44" s="17"/>
      <c r="D44" s="18"/>
      <c r="E44" s="18"/>
      <c r="F44" s="29"/>
      <c r="H44" s="29">
        <f>H45-H52</f>
        <v>5789315</v>
      </c>
    </row>
    <row r="45" spans="1:9" s="17" customFormat="1" ht="12.75">
      <c r="A45" s="17" t="s">
        <v>252</v>
      </c>
      <c r="D45" s="18"/>
      <c r="E45" s="18"/>
      <c r="F45" s="29"/>
      <c r="H45" s="29">
        <f>SUM(H47:H51)</f>
        <v>7000000</v>
      </c>
      <c r="I45" s="62"/>
    </row>
    <row r="46" spans="1:8" ht="12.75">
      <c r="A46" t="s">
        <v>129</v>
      </c>
      <c r="H46"/>
    </row>
    <row r="47" spans="1:8" ht="12.75">
      <c r="A47" t="s">
        <v>130</v>
      </c>
      <c r="F47" s="30"/>
      <c r="H47" s="30">
        <v>0</v>
      </c>
    </row>
    <row r="48" spans="1:8" ht="12.75">
      <c r="A48" t="s">
        <v>253</v>
      </c>
      <c r="F48" s="30"/>
      <c r="H48" s="30">
        <v>0</v>
      </c>
    </row>
    <row r="49" spans="1:8" ht="12.75">
      <c r="A49" t="s">
        <v>315</v>
      </c>
      <c r="F49" s="30"/>
      <c r="H49" s="30">
        <v>7000000</v>
      </c>
    </row>
    <row r="50" spans="1:8" ht="12.75">
      <c r="A50" t="s">
        <v>316</v>
      </c>
      <c r="F50" s="30"/>
      <c r="H50" s="30">
        <v>0</v>
      </c>
    </row>
    <row r="51" spans="1:9" s="49" customFormat="1" ht="12.75">
      <c r="A51" s="49" t="s">
        <v>317</v>
      </c>
      <c r="D51" s="58"/>
      <c r="E51" s="58"/>
      <c r="F51" s="59"/>
      <c r="H51" s="59">
        <v>0</v>
      </c>
      <c r="I51" s="64"/>
    </row>
    <row r="52" spans="1:9" s="17" customFormat="1" ht="12.75">
      <c r="A52" s="17" t="s">
        <v>254</v>
      </c>
      <c r="D52" s="18"/>
      <c r="E52" s="18"/>
      <c r="F52" s="29"/>
      <c r="H52" s="29">
        <f>SUM(H54:H56)</f>
        <v>1210685</v>
      </c>
      <c r="I52" s="62"/>
    </row>
    <row r="53" spans="1:8" ht="12.75">
      <c r="A53" t="s">
        <v>129</v>
      </c>
      <c r="F53" s="30"/>
      <c r="H53" s="30"/>
    </row>
    <row r="54" spans="1:8" ht="12.75">
      <c r="A54" t="s">
        <v>131</v>
      </c>
      <c r="F54" s="30"/>
      <c r="H54" s="30">
        <v>985100</v>
      </c>
    </row>
    <row r="55" spans="1:8" ht="12.75">
      <c r="A55" t="s">
        <v>0</v>
      </c>
      <c r="F55" s="30"/>
      <c r="H55" s="30">
        <v>225585</v>
      </c>
    </row>
    <row r="56" spans="1:9" s="49" customFormat="1" ht="12.75">
      <c r="A56" s="49" t="s">
        <v>255</v>
      </c>
      <c r="D56" s="58"/>
      <c r="E56" s="58"/>
      <c r="F56" s="59"/>
      <c r="H56" s="59">
        <v>0</v>
      </c>
      <c r="I56" s="64"/>
    </row>
    <row r="57" ht="12.75">
      <c r="H57" s="30"/>
    </row>
    <row r="58" ht="12.75">
      <c r="H58" s="30"/>
    </row>
    <row r="59" ht="12.75">
      <c r="H59" s="30"/>
    </row>
    <row r="60" ht="12.75">
      <c r="H60" s="30"/>
    </row>
    <row r="61" ht="12.75">
      <c r="H61" s="30"/>
    </row>
    <row r="62" ht="12.75">
      <c r="H62" s="30"/>
    </row>
    <row r="63" ht="12.75">
      <c r="H63" s="30"/>
    </row>
    <row r="64" spans="1:10" ht="14.25">
      <c r="A64" s="2" t="s">
        <v>43</v>
      </c>
      <c r="H64" s="8" t="s">
        <v>205</v>
      </c>
      <c r="I64" s="66" t="s">
        <v>244</v>
      </c>
      <c r="J64" s="17"/>
    </row>
    <row r="65" spans="1:8" ht="14.25">
      <c r="A65" s="2"/>
      <c r="H65" s="30"/>
    </row>
    <row r="66" spans="1:9" s="3" customFormat="1" ht="12.75">
      <c r="A66" s="3" t="s">
        <v>89</v>
      </c>
      <c r="B66" s="3" t="s">
        <v>90</v>
      </c>
      <c r="D66" s="8"/>
      <c r="E66" s="8"/>
      <c r="H66" s="28">
        <f>SUM(H69:H71)</f>
        <v>7278488.65</v>
      </c>
      <c r="I66" s="66">
        <f>$H66/$H$238</f>
        <v>0.14413809699228575</v>
      </c>
    </row>
    <row r="67" spans="2:9" s="3" customFormat="1" ht="12.75">
      <c r="B67" s="16" t="s">
        <v>319</v>
      </c>
      <c r="D67" s="8"/>
      <c r="E67" s="8"/>
      <c r="H67" s="28"/>
      <c r="I67" s="62"/>
    </row>
    <row r="68" spans="2:9" s="3" customFormat="1" ht="12.75">
      <c r="B68" t="s">
        <v>320</v>
      </c>
      <c r="D68" s="8"/>
      <c r="E68" s="8"/>
      <c r="H68" s="31"/>
      <c r="I68" s="62"/>
    </row>
    <row r="69" spans="2:9" s="3" customFormat="1" ht="12.75">
      <c r="B69" t="s">
        <v>318</v>
      </c>
      <c r="D69" s="8"/>
      <c r="E69" s="8"/>
      <c r="H69" s="31">
        <v>6878488.65</v>
      </c>
      <c r="I69" s="62">
        <f>$H69/$H$238</f>
        <v>0.13621677684336797</v>
      </c>
    </row>
    <row r="70" spans="2:9" s="3" customFormat="1" ht="12.75">
      <c r="B70" t="s">
        <v>321</v>
      </c>
      <c r="D70" s="8"/>
      <c r="E70" s="8"/>
      <c r="H70" s="31"/>
      <c r="I70" s="62"/>
    </row>
    <row r="71" spans="2:9" s="3" customFormat="1" ht="12.75">
      <c r="B71" t="s">
        <v>322</v>
      </c>
      <c r="D71" s="8"/>
      <c r="E71" s="8"/>
      <c r="H71" s="31">
        <v>400000</v>
      </c>
      <c r="I71" s="62">
        <f>$H71/$H$238</f>
        <v>0.00792132014891777</v>
      </c>
    </row>
    <row r="72" spans="2:9" s="3" customFormat="1" ht="12.75">
      <c r="B72" s="6"/>
      <c r="D72" s="8"/>
      <c r="E72" s="8"/>
      <c r="H72" s="31"/>
      <c r="I72" s="62"/>
    </row>
    <row r="73" spans="1:9" s="3" customFormat="1" ht="12.75">
      <c r="A73" s="3" t="s">
        <v>69</v>
      </c>
      <c r="B73" s="3" t="s">
        <v>70</v>
      </c>
      <c r="D73" s="8"/>
      <c r="E73" s="8"/>
      <c r="H73" s="28">
        <f>H77</f>
        <v>91686</v>
      </c>
      <c r="I73" s="66">
        <f>$H73/$H$238</f>
        <v>0.0018156853979341865</v>
      </c>
    </row>
    <row r="74" spans="2:9" s="3" customFormat="1" ht="12.75">
      <c r="B74" s="6" t="s">
        <v>1</v>
      </c>
      <c r="D74" s="8"/>
      <c r="E74" s="8"/>
      <c r="H74" s="31"/>
      <c r="I74" s="62"/>
    </row>
    <row r="75" spans="2:9" s="3" customFormat="1" ht="12.75">
      <c r="B75" s="6" t="s">
        <v>206</v>
      </c>
      <c r="D75" s="8"/>
      <c r="E75" s="8"/>
      <c r="H75" s="31"/>
      <c r="I75" s="62"/>
    </row>
    <row r="76" spans="2:9" s="3" customFormat="1" ht="12.75">
      <c r="B76" s="6" t="s">
        <v>207</v>
      </c>
      <c r="D76" s="8"/>
      <c r="E76" s="8"/>
      <c r="H76" s="31"/>
      <c r="I76" s="62"/>
    </row>
    <row r="77" spans="2:9" s="3" customFormat="1" ht="12.75">
      <c r="B77" s="6" t="s">
        <v>208</v>
      </c>
      <c r="D77" s="8"/>
      <c r="E77" s="8"/>
      <c r="H77" s="31">
        <v>91686</v>
      </c>
      <c r="I77" s="62">
        <f>$H77/$H$238</f>
        <v>0.0018156853979341865</v>
      </c>
    </row>
    <row r="78" spans="2:9" s="3" customFormat="1" ht="12.75">
      <c r="B78" s="6"/>
      <c r="D78" s="8"/>
      <c r="E78" s="8"/>
      <c r="H78" s="31"/>
      <c r="I78" s="62"/>
    </row>
    <row r="79" spans="1:9" s="3" customFormat="1" ht="12.75">
      <c r="A79" s="3" t="s">
        <v>71</v>
      </c>
      <c r="B79" s="3" t="s">
        <v>72</v>
      </c>
      <c r="D79" s="8"/>
      <c r="E79" s="8"/>
      <c r="H79" s="33"/>
      <c r="I79" s="62"/>
    </row>
    <row r="80" spans="2:9" ht="12.75">
      <c r="B80" t="s">
        <v>2</v>
      </c>
      <c r="H80" s="33">
        <f>SUM(H82:H123)</f>
        <v>11407406</v>
      </c>
      <c r="I80" s="66">
        <f>$H80/$H$238</f>
        <v>0.22590428748671365</v>
      </c>
    </row>
    <row r="81" spans="2:8" ht="12.75">
      <c r="B81" t="s">
        <v>44</v>
      </c>
      <c r="H81" s="34"/>
    </row>
    <row r="82" spans="2:8" ht="12.75">
      <c r="B82" t="s">
        <v>123</v>
      </c>
      <c r="H82" s="34"/>
    </row>
    <row r="83" spans="2:9" ht="12.75">
      <c r="B83" t="s">
        <v>179</v>
      </c>
      <c r="H83" s="34">
        <v>2207000</v>
      </c>
      <c r="I83" s="62">
        <f>$H83/$H$238</f>
        <v>0.043705883921653796</v>
      </c>
    </row>
    <row r="84" spans="2:8" ht="12.75">
      <c r="B84" t="s">
        <v>132</v>
      </c>
      <c r="H84" s="34"/>
    </row>
    <row r="85" spans="2:8" ht="12.75">
      <c r="B85" t="s">
        <v>73</v>
      </c>
      <c r="H85" s="34"/>
    </row>
    <row r="86" spans="2:9" ht="12.75">
      <c r="B86" t="s">
        <v>74</v>
      </c>
      <c r="H86" s="34">
        <v>1300000</v>
      </c>
      <c r="I86" s="62">
        <f>$H86/$H$238</f>
        <v>0.025744290483982753</v>
      </c>
    </row>
    <row r="87" spans="2:8" ht="12.75">
      <c r="B87" t="s">
        <v>133</v>
      </c>
      <c r="H87" s="34"/>
    </row>
    <row r="88" spans="2:9" ht="12.75">
      <c r="B88" t="s">
        <v>155</v>
      </c>
      <c r="H88" s="36">
        <v>250000</v>
      </c>
      <c r="I88" s="62">
        <f>$H88/$H$238</f>
        <v>0.004950825093073606</v>
      </c>
    </row>
    <row r="89" spans="2:8" ht="12.75">
      <c r="B89" t="s">
        <v>142</v>
      </c>
      <c r="H89" s="36"/>
    </row>
    <row r="90" spans="2:9" ht="12.75">
      <c r="B90" t="s">
        <v>143</v>
      </c>
      <c r="H90" s="36">
        <v>400000</v>
      </c>
      <c r="I90" s="62">
        <f>$H90/$H$238</f>
        <v>0.00792132014891777</v>
      </c>
    </row>
    <row r="91" spans="2:9" ht="12.75">
      <c r="B91" t="s">
        <v>180</v>
      </c>
      <c r="H91" s="36">
        <f>SUM(F92:F121)</f>
        <v>6201706</v>
      </c>
      <c r="I91" s="62">
        <f>$H91/$H$238</f>
        <v>0.12281424673866057</v>
      </c>
    </row>
    <row r="92" spans="2:8" ht="12.75">
      <c r="B92" t="s">
        <v>209</v>
      </c>
      <c r="F92" s="39">
        <v>6022000</v>
      </c>
      <c r="G92" s="4"/>
      <c r="H92" s="34"/>
    </row>
    <row r="93" spans="2:8" ht="12.75">
      <c r="B93" t="s">
        <v>323</v>
      </c>
      <c r="F93" s="39"/>
      <c r="G93" s="4"/>
      <c r="H93" s="34"/>
    </row>
    <row r="94" spans="2:8" ht="12.75">
      <c r="B94" t="s">
        <v>3</v>
      </c>
      <c r="F94" s="39"/>
      <c r="G94" s="4"/>
      <c r="H94" s="34"/>
    </row>
    <row r="95" spans="2:8" ht="12.75">
      <c r="B95" s="6" t="s">
        <v>324</v>
      </c>
      <c r="F95" s="39"/>
      <c r="G95" s="4"/>
      <c r="H95" s="34"/>
    </row>
    <row r="96" spans="2:8" ht="12.75">
      <c r="B96" s="6" t="s">
        <v>326</v>
      </c>
      <c r="F96" s="39"/>
      <c r="G96" s="4"/>
      <c r="H96" s="34"/>
    </row>
    <row r="97" spans="2:8" ht="12.75">
      <c r="B97" s="6" t="s">
        <v>325</v>
      </c>
      <c r="F97" s="39"/>
      <c r="G97" s="4"/>
      <c r="H97" s="34"/>
    </row>
    <row r="98" spans="2:8" ht="12.75">
      <c r="B98" s="6" t="s">
        <v>4</v>
      </c>
      <c r="F98" s="39"/>
      <c r="G98" s="4"/>
      <c r="H98" s="34"/>
    </row>
    <row r="99" spans="2:8" ht="12.75">
      <c r="B99" s="6" t="s">
        <v>327</v>
      </c>
      <c r="F99" s="39"/>
      <c r="G99" s="4"/>
      <c r="H99" s="34"/>
    </row>
    <row r="100" spans="2:8" ht="12.75">
      <c r="B100" s="6" t="s">
        <v>280</v>
      </c>
      <c r="F100" s="39"/>
      <c r="G100" s="4"/>
      <c r="H100" s="34"/>
    </row>
    <row r="101" spans="2:8" ht="12.75">
      <c r="B101" s="6" t="s">
        <v>464</v>
      </c>
      <c r="F101" s="39"/>
      <c r="G101" s="4"/>
      <c r="H101" s="34"/>
    </row>
    <row r="102" spans="2:8" ht="12.75">
      <c r="B102" s="6" t="s">
        <v>328</v>
      </c>
      <c r="F102" s="39"/>
      <c r="G102" s="4"/>
      <c r="H102" s="34"/>
    </row>
    <row r="103" spans="2:8" ht="12.75">
      <c r="B103" s="6" t="s">
        <v>465</v>
      </c>
      <c r="F103" s="39"/>
      <c r="G103" s="4"/>
      <c r="H103" s="34"/>
    </row>
    <row r="104" spans="2:8" ht="12.75">
      <c r="B104" s="6" t="s">
        <v>329</v>
      </c>
      <c r="F104" s="39"/>
      <c r="G104" s="4"/>
      <c r="H104" s="34"/>
    </row>
    <row r="105" spans="2:8" ht="12.75">
      <c r="B105" t="s">
        <v>466</v>
      </c>
      <c r="F105" s="39"/>
      <c r="G105" s="4"/>
      <c r="H105" s="34"/>
    </row>
    <row r="106" spans="2:8" ht="12.75">
      <c r="B106" t="s">
        <v>330</v>
      </c>
      <c r="F106" s="39"/>
      <c r="G106" s="4"/>
      <c r="H106" s="34"/>
    </row>
    <row r="107" spans="2:8" ht="12.75">
      <c r="B107" t="s">
        <v>467</v>
      </c>
      <c r="F107" s="39"/>
      <c r="G107" s="4"/>
      <c r="H107" s="34"/>
    </row>
    <row r="108" spans="2:8" ht="12.75">
      <c r="B108" t="s">
        <v>331</v>
      </c>
      <c r="F108" s="39"/>
      <c r="G108" s="4"/>
      <c r="H108" s="34"/>
    </row>
    <row r="109" spans="2:8" ht="12.75">
      <c r="B109" t="s">
        <v>468</v>
      </c>
      <c r="F109" s="39"/>
      <c r="G109" s="4"/>
      <c r="H109" s="34"/>
    </row>
    <row r="110" spans="2:8" ht="12.75">
      <c r="B110" t="s">
        <v>332</v>
      </c>
      <c r="F110" s="39"/>
      <c r="G110" s="4"/>
      <c r="H110" s="34"/>
    </row>
    <row r="111" spans="2:9" s="16" customFormat="1" ht="12.75">
      <c r="B111" s="16" t="s">
        <v>333</v>
      </c>
      <c r="D111" s="21"/>
      <c r="E111" s="21"/>
      <c r="F111" s="60"/>
      <c r="G111" s="21"/>
      <c r="H111" s="32"/>
      <c r="I111" s="62"/>
    </row>
    <row r="112" spans="2:9" s="16" customFormat="1" ht="12.75">
      <c r="B112" s="16" t="s">
        <v>334</v>
      </c>
      <c r="D112" s="21"/>
      <c r="E112" s="21"/>
      <c r="F112" s="60"/>
      <c r="G112" s="21"/>
      <c r="H112" s="32"/>
      <c r="I112" s="62"/>
    </row>
    <row r="113" spans="2:9" s="16" customFormat="1" ht="12.75">
      <c r="B113" s="16" t="s">
        <v>335</v>
      </c>
      <c r="D113" s="21"/>
      <c r="E113" s="21"/>
      <c r="F113" s="60"/>
      <c r="G113" s="21"/>
      <c r="H113" s="32"/>
      <c r="I113" s="62"/>
    </row>
    <row r="114" spans="2:9" s="16" customFormat="1" ht="12.75">
      <c r="B114" s="16" t="s">
        <v>336</v>
      </c>
      <c r="D114" s="21"/>
      <c r="E114" s="21"/>
      <c r="F114" s="60"/>
      <c r="G114" s="21"/>
      <c r="H114" s="32"/>
      <c r="I114" s="62"/>
    </row>
    <row r="115" spans="2:9" s="16" customFormat="1" ht="12.75">
      <c r="B115" s="16" t="s">
        <v>337</v>
      </c>
      <c r="D115" s="21"/>
      <c r="E115" s="21"/>
      <c r="F115" s="60"/>
      <c r="G115" s="21"/>
      <c r="H115" s="32"/>
      <c r="I115" s="62"/>
    </row>
    <row r="116" spans="2:9" s="16" customFormat="1" ht="12.75">
      <c r="B116" s="16" t="s">
        <v>472</v>
      </c>
      <c r="D116" s="21"/>
      <c r="E116" s="21"/>
      <c r="F116" s="60"/>
      <c r="G116" s="21"/>
      <c r="H116" s="32"/>
      <c r="I116" s="62"/>
    </row>
    <row r="117" spans="2:9" s="16" customFormat="1" ht="12.75">
      <c r="B117" s="16" t="s">
        <v>338</v>
      </c>
      <c r="D117" s="21"/>
      <c r="E117" s="21"/>
      <c r="F117" s="60"/>
      <c r="G117" s="21"/>
      <c r="H117" s="32"/>
      <c r="I117" s="62"/>
    </row>
    <row r="118" spans="2:8" ht="12.75">
      <c r="B118" t="s">
        <v>5</v>
      </c>
      <c r="F118" s="39">
        <v>50000</v>
      </c>
      <c r="G118" s="4"/>
      <c r="H118" s="34"/>
    </row>
    <row r="119" spans="2:8" ht="12.75">
      <c r="B119" t="s">
        <v>277</v>
      </c>
      <c r="F119" s="39">
        <v>4608</v>
      </c>
      <c r="G119" s="4"/>
      <c r="H119" s="34"/>
    </row>
    <row r="120" spans="2:8" ht="12.75">
      <c r="B120" t="s">
        <v>278</v>
      </c>
      <c r="F120" s="39">
        <v>116600</v>
      </c>
      <c r="G120" s="4"/>
      <c r="H120" s="34"/>
    </row>
    <row r="121" spans="2:8" ht="12.75">
      <c r="B121" t="s">
        <v>279</v>
      </c>
      <c r="F121" s="39">
        <v>8498</v>
      </c>
      <c r="G121" s="4"/>
      <c r="H121" s="34"/>
    </row>
    <row r="122" spans="2:9" ht="13.5" customHeight="1">
      <c r="B122" s="7" t="s">
        <v>181</v>
      </c>
      <c r="C122" s="7"/>
      <c r="H122" s="34">
        <f>40000+8700</f>
        <v>48700</v>
      </c>
      <c r="I122" s="62">
        <f>$H122/$H$238</f>
        <v>0.0009644207281307384</v>
      </c>
    </row>
    <row r="123" spans="2:9" ht="13.5" customHeight="1">
      <c r="B123" s="7" t="s">
        <v>339</v>
      </c>
      <c r="C123" s="7"/>
      <c r="H123" s="34">
        <v>1000000</v>
      </c>
      <c r="I123" s="62">
        <f>$H123/$H$238</f>
        <v>0.019803300372294424</v>
      </c>
    </row>
    <row r="124" spans="2:8" ht="13.5" customHeight="1">
      <c r="B124" s="7"/>
      <c r="C124" s="7"/>
      <c r="H124" s="34"/>
    </row>
    <row r="125" spans="2:8" ht="13.5" customHeight="1">
      <c r="B125" s="7"/>
      <c r="C125" s="7"/>
      <c r="H125" s="34"/>
    </row>
    <row r="126" spans="2:8" ht="13.5" customHeight="1">
      <c r="B126" s="7"/>
      <c r="C126" s="7"/>
      <c r="H126" s="34"/>
    </row>
    <row r="127" spans="2:8" ht="13.5" customHeight="1">
      <c r="B127" s="7"/>
      <c r="C127" s="7"/>
      <c r="H127" s="34"/>
    </row>
    <row r="128" spans="2:8" ht="13.5" customHeight="1">
      <c r="B128" s="7"/>
      <c r="C128" s="7"/>
      <c r="H128" s="34"/>
    </row>
    <row r="129" spans="1:9" s="3" customFormat="1" ht="12.75">
      <c r="A129" s="3" t="s">
        <v>75</v>
      </c>
      <c r="B129" s="3" t="s">
        <v>76</v>
      </c>
      <c r="D129" s="8"/>
      <c r="E129" s="8"/>
      <c r="H129" s="33"/>
      <c r="I129" s="62"/>
    </row>
    <row r="130" spans="2:9" ht="12.75">
      <c r="B130" t="s">
        <v>7</v>
      </c>
      <c r="H130" s="33">
        <f>SUM(H133:H136)</f>
        <v>211500</v>
      </c>
      <c r="I130" s="66">
        <f>$H130/$H$238</f>
        <v>0.004188398028740271</v>
      </c>
    </row>
    <row r="131" spans="2:8" ht="12.75">
      <c r="B131" t="s">
        <v>54</v>
      </c>
      <c r="H131" s="36"/>
    </row>
    <row r="132" spans="2:8" ht="12.75">
      <c r="B132" t="s">
        <v>172</v>
      </c>
      <c r="H132" s="34"/>
    </row>
    <row r="133" spans="2:9" ht="12.75">
      <c r="B133" t="s">
        <v>116</v>
      </c>
      <c r="H133" s="34">
        <v>71900</v>
      </c>
      <c r="I133" s="62">
        <f>$H133/$H$238</f>
        <v>0.001423857296767969</v>
      </c>
    </row>
    <row r="134" spans="2:9" ht="12.75">
      <c r="B134" t="s">
        <v>340</v>
      </c>
      <c r="H134" s="34">
        <f>4600</f>
        <v>4600</v>
      </c>
      <c r="I134" s="62">
        <f>$H134/$H$238</f>
        <v>9.109518171255435E-05</v>
      </c>
    </row>
    <row r="135" spans="2:9" ht="12.75">
      <c r="B135" t="s">
        <v>341</v>
      </c>
      <c r="H135" s="34">
        <v>35000</v>
      </c>
      <c r="I135" s="62">
        <f>$H135/$H$238</f>
        <v>0.0006931155130303049</v>
      </c>
    </row>
    <row r="136" spans="2:9" ht="12" customHeight="1">
      <c r="B136" s="7" t="s">
        <v>342</v>
      </c>
      <c r="C136" s="7"/>
      <c r="H136" s="34">
        <v>100000</v>
      </c>
      <c r="I136" s="62">
        <f>$H136/$H$238</f>
        <v>0.0019803300372294424</v>
      </c>
    </row>
    <row r="137" spans="2:8" ht="12" customHeight="1">
      <c r="B137" s="7"/>
      <c r="C137" s="7"/>
      <c r="H137" s="34"/>
    </row>
    <row r="138" spans="1:9" s="17" customFormat="1" ht="12" customHeight="1">
      <c r="A138" s="17" t="s">
        <v>77</v>
      </c>
      <c r="B138" s="19" t="s">
        <v>78</v>
      </c>
      <c r="C138" s="19"/>
      <c r="D138" s="18"/>
      <c r="E138" s="18"/>
      <c r="H138" s="35">
        <f>SUM(H139:H139)</f>
        <v>1140</v>
      </c>
      <c r="I138" s="66">
        <f>$H138/$H$238</f>
        <v>2.2575762424415644E-05</v>
      </c>
    </row>
    <row r="139" spans="2:9" ht="12" customHeight="1">
      <c r="B139" t="s">
        <v>144</v>
      </c>
      <c r="C139" s="7"/>
      <c r="H139" s="34">
        <v>1140</v>
      </c>
      <c r="I139" s="62">
        <f>$H139/$H$238</f>
        <v>2.2575762424415644E-05</v>
      </c>
    </row>
    <row r="140" spans="3:8" ht="12" customHeight="1">
      <c r="C140" s="7"/>
      <c r="H140" s="34"/>
    </row>
    <row r="141" spans="2:8" ht="12" customHeight="1">
      <c r="B141" s="7"/>
      <c r="C141" s="7"/>
      <c r="H141" s="34"/>
    </row>
    <row r="142" spans="1:9" s="3" customFormat="1" ht="12.75">
      <c r="A142" s="3" t="s">
        <v>79</v>
      </c>
      <c r="B142" s="20" t="s">
        <v>80</v>
      </c>
      <c r="D142" s="8"/>
      <c r="E142" s="8"/>
      <c r="H142" s="33">
        <f>SUM(H143:H143)</f>
        <v>35000</v>
      </c>
      <c r="I142" s="66">
        <f>$H142/$H$238</f>
        <v>0.0006931155130303049</v>
      </c>
    </row>
    <row r="143" spans="2:9" ht="12" customHeight="1">
      <c r="B143" s="7" t="s">
        <v>145</v>
      </c>
      <c r="C143" s="7"/>
      <c r="H143" s="34">
        <v>35000</v>
      </c>
      <c r="I143" s="62">
        <f>$H143/$H$238</f>
        <v>0.0006931155130303049</v>
      </c>
    </row>
    <row r="144" spans="2:8" ht="12" customHeight="1">
      <c r="B144" s="7"/>
      <c r="C144" s="7"/>
      <c r="H144" s="34"/>
    </row>
    <row r="145" spans="1:9" s="3" customFormat="1" ht="12.75">
      <c r="A145" s="3" t="s">
        <v>81</v>
      </c>
      <c r="B145" s="3" t="s">
        <v>343</v>
      </c>
      <c r="D145" s="8"/>
      <c r="E145" s="8"/>
      <c r="H145" s="34"/>
      <c r="I145" s="62"/>
    </row>
    <row r="146" spans="2:9" s="3" customFormat="1" ht="12.75">
      <c r="B146" s="3" t="s">
        <v>134</v>
      </c>
      <c r="D146" s="8"/>
      <c r="E146" s="8"/>
      <c r="H146" s="34"/>
      <c r="I146" s="62"/>
    </row>
    <row r="147" spans="2:9" s="3" customFormat="1" ht="12.75">
      <c r="B147" s="3" t="s">
        <v>138</v>
      </c>
      <c r="D147" s="8"/>
      <c r="E147" s="8"/>
      <c r="H147" s="34"/>
      <c r="I147" s="62"/>
    </row>
    <row r="148" spans="2:9" ht="12.75">
      <c r="B148" t="s">
        <v>55</v>
      </c>
      <c r="H148" s="33">
        <f>SUM(H151:H169)</f>
        <v>25632605</v>
      </c>
      <c r="I148" s="66">
        <f>$H148/$H$238</f>
        <v>0.507610176139376</v>
      </c>
    </row>
    <row r="149" spans="2:8" ht="12.75">
      <c r="B149" t="s">
        <v>54</v>
      </c>
      <c r="H149" s="34"/>
    </row>
    <row r="150" spans="2:8" ht="12.75">
      <c r="B150" s="6" t="s">
        <v>82</v>
      </c>
      <c r="H150" s="34"/>
    </row>
    <row r="151" spans="2:9" ht="12.75">
      <c r="B151" s="6" t="s">
        <v>83</v>
      </c>
      <c r="H151" s="34">
        <v>135000</v>
      </c>
      <c r="I151" s="62">
        <f aca="true" t="shared" si="0" ref="I151:I164">$H151/$H$238</f>
        <v>0.0026734455502597475</v>
      </c>
    </row>
    <row r="152" spans="2:9" ht="12.75">
      <c r="B152" s="16" t="s">
        <v>8</v>
      </c>
      <c r="H152" s="34">
        <f>12597469+1600000</f>
        <v>14197469</v>
      </c>
      <c r="I152" s="62">
        <f t="shared" si="0"/>
        <v>0.28115674313333855</v>
      </c>
    </row>
    <row r="153" spans="2:9" ht="12.75">
      <c r="B153" t="s">
        <v>9</v>
      </c>
      <c r="H153" s="34">
        <f>250+9000</f>
        <v>9250</v>
      </c>
      <c r="I153" s="62">
        <f t="shared" si="0"/>
        <v>0.00018318052844372342</v>
      </c>
    </row>
    <row r="154" spans="2:9" ht="12.75">
      <c r="B154" s="16" t="s">
        <v>10</v>
      </c>
      <c r="H154" s="34">
        <v>70000</v>
      </c>
      <c r="I154" s="62">
        <f t="shared" si="0"/>
        <v>0.0013862310260606098</v>
      </c>
    </row>
    <row r="155" spans="2:9" ht="12.75">
      <c r="B155" s="6" t="s">
        <v>11</v>
      </c>
      <c r="C155" s="6"/>
      <c r="D155" s="9"/>
      <c r="E155" s="9"/>
      <c r="G155" s="6"/>
      <c r="H155" s="34">
        <f>6000+33000</f>
        <v>39000</v>
      </c>
      <c r="I155" s="62">
        <f t="shared" si="0"/>
        <v>0.0007723287145194825</v>
      </c>
    </row>
    <row r="156" spans="2:9" ht="12.75">
      <c r="B156" s="16" t="s">
        <v>12</v>
      </c>
      <c r="C156" s="6"/>
      <c r="D156" s="9"/>
      <c r="E156" s="9"/>
      <c r="G156" s="6"/>
      <c r="H156" s="34">
        <f>10000+270000</f>
        <v>280000</v>
      </c>
      <c r="I156" s="62">
        <f t="shared" si="0"/>
        <v>0.005544924104242439</v>
      </c>
    </row>
    <row r="157" spans="2:9" ht="12.75">
      <c r="B157" s="6" t="s">
        <v>344</v>
      </c>
      <c r="C157" s="6"/>
      <c r="D157" s="9"/>
      <c r="E157" s="9"/>
      <c r="F157" s="6"/>
      <c r="G157" s="6"/>
      <c r="H157" s="34">
        <f>500+7000</f>
        <v>7500</v>
      </c>
      <c r="I157" s="62">
        <f t="shared" si="0"/>
        <v>0.00014852475279220818</v>
      </c>
    </row>
    <row r="158" spans="2:9" ht="12.75">
      <c r="B158" s="6" t="s">
        <v>13</v>
      </c>
      <c r="C158" s="6"/>
      <c r="D158" s="9"/>
      <c r="E158" s="9"/>
      <c r="G158" s="6"/>
      <c r="H158" s="34">
        <f>5787505+12000</f>
        <v>5799505</v>
      </c>
      <c r="I158" s="62">
        <f t="shared" si="0"/>
        <v>0.11484933952562337</v>
      </c>
    </row>
    <row r="159" spans="2:9" ht="12.75">
      <c r="B159" s="6" t="s">
        <v>14</v>
      </c>
      <c r="C159" s="6"/>
      <c r="D159" s="9"/>
      <c r="E159" s="9"/>
      <c r="F159" s="26"/>
      <c r="G159" s="6"/>
      <c r="H159" s="34">
        <v>50000</v>
      </c>
      <c r="I159" s="62">
        <f t="shared" si="0"/>
        <v>0.0009901650186147212</v>
      </c>
    </row>
    <row r="160" spans="2:9" ht="12.75">
      <c r="B160" s="6" t="s">
        <v>15</v>
      </c>
      <c r="C160" s="6"/>
      <c r="D160" s="9"/>
      <c r="E160" s="9"/>
      <c r="F160" s="26"/>
      <c r="G160" s="6"/>
      <c r="H160" s="34">
        <v>1500</v>
      </c>
      <c r="I160" s="62">
        <f t="shared" si="0"/>
        <v>2.9704950558441637E-05</v>
      </c>
    </row>
    <row r="161" spans="2:9" ht="12.75">
      <c r="B161" s="6" t="s">
        <v>16</v>
      </c>
      <c r="C161" s="6"/>
      <c r="D161" s="9"/>
      <c r="E161" s="9"/>
      <c r="F161" s="26"/>
      <c r="G161" s="6"/>
      <c r="H161" s="34">
        <v>100000</v>
      </c>
      <c r="I161" s="62">
        <f t="shared" si="0"/>
        <v>0.0019803300372294424</v>
      </c>
    </row>
    <row r="162" spans="2:9" ht="12.75">
      <c r="B162" s="6" t="s">
        <v>17</v>
      </c>
      <c r="C162" s="6"/>
      <c r="D162" s="9"/>
      <c r="E162" s="9"/>
      <c r="F162" s="26"/>
      <c r="G162" s="6"/>
      <c r="H162" s="34">
        <v>750000</v>
      </c>
      <c r="I162" s="62">
        <f t="shared" si="0"/>
        <v>0.014852475279220819</v>
      </c>
    </row>
    <row r="163" spans="2:9" ht="12.75">
      <c r="B163" s="6" t="s">
        <v>18</v>
      </c>
      <c r="C163" s="6"/>
      <c r="D163" s="9"/>
      <c r="E163" s="9"/>
      <c r="F163" s="6"/>
      <c r="G163" s="6"/>
      <c r="H163" s="34">
        <v>35000</v>
      </c>
      <c r="I163" s="62">
        <f t="shared" si="0"/>
        <v>0.0006931155130303049</v>
      </c>
    </row>
    <row r="164" spans="2:9" ht="12.75">
      <c r="B164" s="6" t="s">
        <v>19</v>
      </c>
      <c r="C164" s="6"/>
      <c r="D164" s="9"/>
      <c r="E164" s="9"/>
      <c r="F164" s="6"/>
      <c r="G164" s="6"/>
      <c r="H164" s="34">
        <v>420000</v>
      </c>
      <c r="I164" s="62">
        <f t="shared" si="0"/>
        <v>0.008317386156363658</v>
      </c>
    </row>
    <row r="165" spans="2:8" ht="12.75">
      <c r="B165" s="6" t="s">
        <v>346</v>
      </c>
      <c r="C165" s="6"/>
      <c r="D165" s="9"/>
      <c r="E165" s="9"/>
      <c r="F165" s="6"/>
      <c r="G165" s="6"/>
      <c r="H165" s="34"/>
    </row>
    <row r="166" spans="2:9" ht="12.75">
      <c r="B166" s="6" t="s">
        <v>345</v>
      </c>
      <c r="C166" s="6"/>
      <c r="D166" s="9"/>
      <c r="E166" s="9"/>
      <c r="F166" s="6"/>
      <c r="G166" s="6"/>
      <c r="H166" s="34">
        <v>180766</v>
      </c>
      <c r="I166" s="62">
        <f>$H166/$H$238</f>
        <v>0.003579763395098174</v>
      </c>
    </row>
    <row r="167" spans="2:8" ht="12.75">
      <c r="B167" s="6" t="s">
        <v>347</v>
      </c>
      <c r="C167" s="6"/>
      <c r="D167" s="9"/>
      <c r="E167" s="9"/>
      <c r="F167" s="6"/>
      <c r="G167" s="6"/>
      <c r="H167" s="34">
        <v>1000</v>
      </c>
    </row>
    <row r="168" spans="2:9" ht="12.75">
      <c r="B168" s="6" t="s">
        <v>348</v>
      </c>
      <c r="C168" s="6"/>
      <c r="D168" s="9"/>
      <c r="E168" s="9"/>
      <c r="F168" s="6"/>
      <c r="G168" s="6"/>
      <c r="H168" s="34">
        <v>3406615</v>
      </c>
      <c r="I168" s="62">
        <f>$H168/$H$238</f>
        <v>0.06746222009776377</v>
      </c>
    </row>
    <row r="169" spans="2:9" ht="12.75">
      <c r="B169" s="6" t="s">
        <v>349</v>
      </c>
      <c r="C169" s="6"/>
      <c r="D169" s="9"/>
      <c r="E169" s="9"/>
      <c r="F169" s="6"/>
      <c r="G169" s="6"/>
      <c r="H169" s="34">
        <v>150000</v>
      </c>
      <c r="I169" s="62">
        <f>$H169/$H$238</f>
        <v>0.0029704950558441636</v>
      </c>
    </row>
    <row r="170" spans="2:8" ht="12" customHeight="1">
      <c r="B170" s="7"/>
      <c r="C170" s="7"/>
      <c r="H170" s="34"/>
    </row>
    <row r="171" spans="1:9" s="3" customFormat="1" ht="12.75">
      <c r="A171" s="3" t="s">
        <v>84</v>
      </c>
      <c r="B171" s="3" t="s">
        <v>56</v>
      </c>
      <c r="D171" s="8"/>
      <c r="E171" s="8"/>
      <c r="H171" s="33">
        <f>H174</f>
        <v>3051576</v>
      </c>
      <c r="I171" s="66">
        <f>$H171/$H$238</f>
        <v>0.06043127613688473</v>
      </c>
    </row>
    <row r="172" spans="2:8" ht="12.75">
      <c r="B172" t="s">
        <v>350</v>
      </c>
      <c r="H172" s="36"/>
    </row>
    <row r="173" spans="2:8" ht="12.75">
      <c r="B173" t="s">
        <v>351</v>
      </c>
      <c r="H173" s="36"/>
    </row>
    <row r="174" spans="2:9" ht="12.75">
      <c r="B174" t="s">
        <v>21</v>
      </c>
      <c r="H174" s="36">
        <f>SUM(E176:E178)</f>
        <v>3051576</v>
      </c>
      <c r="I174" s="62">
        <f>$H174/$H$238</f>
        <v>0.06043127613688473</v>
      </c>
    </row>
    <row r="175" spans="2:8" ht="12.75">
      <c r="B175" t="s">
        <v>22</v>
      </c>
      <c r="H175" s="36"/>
    </row>
    <row r="176" spans="2:8" ht="12.75">
      <c r="B176" s="6" t="s">
        <v>23</v>
      </c>
      <c r="E176" s="39">
        <v>2260434</v>
      </c>
      <c r="H176" s="36"/>
    </row>
    <row r="177" spans="2:8" ht="12.75">
      <c r="B177" s="6" t="s">
        <v>20</v>
      </c>
      <c r="E177" s="60">
        <v>70100</v>
      </c>
      <c r="H177" s="36"/>
    </row>
    <row r="178" spans="2:8" ht="12.75">
      <c r="B178" s="6" t="s">
        <v>352</v>
      </c>
      <c r="E178" s="60">
        <v>721042</v>
      </c>
      <c r="H178" s="36"/>
    </row>
    <row r="179" spans="2:8" ht="12.75">
      <c r="B179" s="26"/>
      <c r="E179" s="30"/>
      <c r="H179" s="36"/>
    </row>
    <row r="180" spans="1:9" s="3" customFormat="1" ht="12.75">
      <c r="A180" s="3" t="s">
        <v>85</v>
      </c>
      <c r="B180" s="3" t="s">
        <v>45</v>
      </c>
      <c r="D180" s="8"/>
      <c r="E180" s="28"/>
      <c r="H180" s="33"/>
      <c r="I180" s="62"/>
    </row>
    <row r="181" spans="2:9" ht="12.75">
      <c r="B181" t="s">
        <v>6</v>
      </c>
      <c r="E181" s="30"/>
      <c r="H181" s="33">
        <f>+H184+H189+H194+H199+H200+H205</f>
        <v>983675</v>
      </c>
      <c r="I181" s="66">
        <f>$H181/$H$238</f>
        <v>0.01948001149371672</v>
      </c>
    </row>
    <row r="182" spans="2:8" ht="12.75">
      <c r="B182" t="s">
        <v>46</v>
      </c>
      <c r="E182" s="30"/>
      <c r="H182" s="34"/>
    </row>
    <row r="183" spans="2:8" ht="12.75">
      <c r="B183" t="s">
        <v>47</v>
      </c>
      <c r="E183" s="30"/>
      <c r="H183" s="34"/>
    </row>
    <row r="184" spans="2:9" ht="12.75">
      <c r="B184" t="s">
        <v>48</v>
      </c>
      <c r="E184" s="30"/>
      <c r="H184" s="34">
        <f>SUM(F186:F188)</f>
        <v>34700</v>
      </c>
      <c r="I184" s="62">
        <f>$H184/$H$238</f>
        <v>0.0006871745229186165</v>
      </c>
    </row>
    <row r="185" spans="2:8" ht="12.75">
      <c r="B185" t="s">
        <v>353</v>
      </c>
      <c r="E185" s="30"/>
      <c r="H185" s="34"/>
    </row>
    <row r="186" spans="2:8" ht="12.75">
      <c r="B186" t="s">
        <v>50</v>
      </c>
      <c r="E186" s="34"/>
      <c r="F186" s="34">
        <v>12000</v>
      </c>
      <c r="H186" s="34"/>
    </row>
    <row r="187" spans="2:8" ht="12.75">
      <c r="B187" t="s">
        <v>51</v>
      </c>
      <c r="E187" s="34"/>
      <c r="F187" s="34">
        <v>12300</v>
      </c>
      <c r="H187" s="34"/>
    </row>
    <row r="188" spans="2:8" ht="12.75">
      <c r="B188" t="s">
        <v>52</v>
      </c>
      <c r="E188" s="34"/>
      <c r="F188" s="34">
        <v>10400</v>
      </c>
      <c r="H188" s="34"/>
    </row>
    <row r="189" spans="2:9" ht="12.75">
      <c r="B189" t="s">
        <v>187</v>
      </c>
      <c r="E189" s="34"/>
      <c r="H189" s="34">
        <f>SUM(F191:F193)</f>
        <v>255400</v>
      </c>
      <c r="I189" s="62">
        <f>$H189/$H$238</f>
        <v>0.005057762915083996</v>
      </c>
    </row>
    <row r="190" spans="2:8" ht="12.75">
      <c r="B190" t="s">
        <v>53</v>
      </c>
      <c r="E190" s="34"/>
      <c r="H190" s="34"/>
    </row>
    <row r="191" spans="2:8" ht="12.75">
      <c r="B191" t="s">
        <v>117</v>
      </c>
      <c r="E191" s="34"/>
      <c r="F191" s="34">
        <v>127000</v>
      </c>
      <c r="H191" s="34"/>
    </row>
    <row r="192" spans="2:8" ht="12.75">
      <c r="B192" t="s">
        <v>51</v>
      </c>
      <c r="E192" s="34"/>
      <c r="F192" s="34">
        <v>27000</v>
      </c>
      <c r="H192" s="34"/>
    </row>
    <row r="193" spans="2:8" ht="12.75">
      <c r="B193" t="s">
        <v>52</v>
      </c>
      <c r="E193" s="34"/>
      <c r="F193" s="34">
        <v>101400</v>
      </c>
      <c r="H193" s="34"/>
    </row>
    <row r="194" spans="2:9" ht="12.75">
      <c r="B194" t="s">
        <v>210</v>
      </c>
      <c r="E194" s="34"/>
      <c r="H194" s="34">
        <f>SUM(F196:F197)</f>
        <v>5900</v>
      </c>
      <c r="I194" s="62">
        <f>$H194/$H$238</f>
        <v>0.0001168394721965371</v>
      </c>
    </row>
    <row r="195" spans="2:8" ht="12.75">
      <c r="B195" t="s">
        <v>49</v>
      </c>
      <c r="E195" s="34"/>
      <c r="H195" s="34"/>
    </row>
    <row r="196" spans="2:8" ht="12.75">
      <c r="B196" t="s">
        <v>50</v>
      </c>
      <c r="E196" s="34"/>
      <c r="F196" s="34">
        <v>5400</v>
      </c>
      <c r="H196" s="34"/>
    </row>
    <row r="197" spans="2:8" ht="12.75">
      <c r="B197" t="s">
        <v>52</v>
      </c>
      <c r="E197" s="34"/>
      <c r="F197" s="34">
        <v>500</v>
      </c>
      <c r="H197" s="34"/>
    </row>
    <row r="198" spans="2:8" ht="12.75">
      <c r="B198" t="s">
        <v>211</v>
      </c>
      <c r="E198" s="30"/>
      <c r="H198" s="34"/>
    </row>
    <row r="199" spans="2:9" ht="12.75">
      <c r="B199" t="s">
        <v>124</v>
      </c>
      <c r="E199" s="30"/>
      <c r="H199" s="34">
        <f>100+1000+600+100+1500+600</f>
        <v>3900</v>
      </c>
      <c r="I199" s="62">
        <f>$H199/$H$238</f>
        <v>7.723287145194825E-05</v>
      </c>
    </row>
    <row r="200" spans="2:9" ht="12.75">
      <c r="B200" t="s">
        <v>212</v>
      </c>
      <c r="E200" s="30"/>
      <c r="H200" s="34">
        <f>SUM(F202:F204)</f>
        <v>333775</v>
      </c>
      <c r="I200" s="62">
        <f>$H200/$H$238</f>
        <v>0.006609846581762571</v>
      </c>
    </row>
    <row r="201" spans="2:8" ht="12.75">
      <c r="B201" t="s">
        <v>139</v>
      </c>
      <c r="E201" s="30"/>
      <c r="H201" s="34"/>
    </row>
    <row r="202" spans="2:8" ht="12.75">
      <c r="B202" t="s">
        <v>140</v>
      </c>
      <c r="E202" s="34"/>
      <c r="F202" s="34">
        <v>181000</v>
      </c>
      <c r="H202" s="34"/>
    </row>
    <row r="203" spans="2:8" ht="12.75">
      <c r="B203" t="s">
        <v>141</v>
      </c>
      <c r="E203" s="34"/>
      <c r="F203" s="34">
        <v>152075</v>
      </c>
      <c r="H203" s="34"/>
    </row>
    <row r="204" spans="2:8" ht="12.75">
      <c r="B204" t="s">
        <v>354</v>
      </c>
      <c r="E204" s="34"/>
      <c r="F204" s="34">
        <v>700</v>
      </c>
      <c r="H204" s="34"/>
    </row>
    <row r="205" spans="2:9" ht="12.75">
      <c r="B205" t="s">
        <v>355</v>
      </c>
      <c r="E205" s="34"/>
      <c r="H205" s="34">
        <v>350000</v>
      </c>
      <c r="I205" s="62">
        <f>$H205/$H$238</f>
        <v>0.006931155130303048</v>
      </c>
    </row>
    <row r="206" spans="5:8" ht="12.75">
      <c r="E206" s="34"/>
      <c r="H206" s="34"/>
    </row>
    <row r="207" spans="1:9" s="3" customFormat="1" ht="12.75">
      <c r="A207" s="3" t="s">
        <v>135</v>
      </c>
      <c r="B207" s="3" t="s">
        <v>136</v>
      </c>
      <c r="D207" s="8"/>
      <c r="E207" s="8"/>
      <c r="H207" s="34"/>
      <c r="I207" s="62"/>
    </row>
    <row r="208" spans="2:9" ht="12.75">
      <c r="B208" t="s">
        <v>2</v>
      </c>
      <c r="H208" s="33">
        <f>SUM(H212:H224)</f>
        <v>1676520</v>
      </c>
      <c r="I208" s="66">
        <f>$H208/$H$238</f>
        <v>0.033200629140159046</v>
      </c>
    </row>
    <row r="209" spans="2:8" ht="12.75">
      <c r="B209" t="s">
        <v>54</v>
      </c>
      <c r="H209" s="34"/>
    </row>
    <row r="210" spans="2:8" ht="12.75">
      <c r="B210" t="s">
        <v>359</v>
      </c>
      <c r="H210" s="34"/>
    </row>
    <row r="211" spans="2:8" ht="12.75">
      <c r="B211" t="s">
        <v>360</v>
      </c>
      <c r="H211" s="34"/>
    </row>
    <row r="212" spans="2:9" ht="12.75">
      <c r="B212" t="s">
        <v>361</v>
      </c>
      <c r="H212" s="34">
        <v>1163000</v>
      </c>
      <c r="I212" s="62">
        <f>$H212/$H$238</f>
        <v>0.023031238332978415</v>
      </c>
    </row>
    <row r="213" spans="2:8" ht="12.75">
      <c r="B213" t="s">
        <v>146</v>
      </c>
      <c r="H213" s="34"/>
    </row>
    <row r="214" spans="2:8" ht="12.75">
      <c r="B214" t="s">
        <v>147</v>
      </c>
      <c r="H214" s="34"/>
    </row>
    <row r="215" spans="2:9" ht="12.75">
      <c r="B215" t="s">
        <v>118</v>
      </c>
      <c r="H215" s="34">
        <v>16000</v>
      </c>
      <c r="I215" s="62">
        <f>$H215/$H$238</f>
        <v>0.0003168528059567108</v>
      </c>
    </row>
    <row r="216" spans="2:9" ht="12.75">
      <c r="B216" t="s">
        <v>358</v>
      </c>
      <c r="H216" s="34">
        <v>145000</v>
      </c>
      <c r="I216" s="62">
        <f>$H216/$H$238</f>
        <v>0.0028714785539826915</v>
      </c>
    </row>
    <row r="217" spans="2:9" ht="12.75">
      <c r="B217" t="s">
        <v>148</v>
      </c>
      <c r="H217" s="34">
        <v>182000</v>
      </c>
      <c r="I217" s="62">
        <f>$H217/$H$238</f>
        <v>0.0036042006677575854</v>
      </c>
    </row>
    <row r="218" spans="2:9" ht="12.75">
      <c r="B218" t="s">
        <v>149</v>
      </c>
      <c r="H218" s="34">
        <v>108000</v>
      </c>
      <c r="I218" s="62">
        <f>$H218/$H$238</f>
        <v>0.0021387564402077976</v>
      </c>
    </row>
    <row r="219" spans="2:9" ht="12.75">
      <c r="B219" t="s">
        <v>150</v>
      </c>
      <c r="H219" s="34">
        <v>14000</v>
      </c>
      <c r="I219" s="62">
        <f>$H219/$H$238</f>
        <v>0.00027724620521212196</v>
      </c>
    </row>
    <row r="220" spans="2:8" ht="12.75">
      <c r="B220" t="s">
        <v>182</v>
      </c>
      <c r="H220" s="34"/>
    </row>
    <row r="221" spans="2:9" ht="12.75">
      <c r="B221" t="s">
        <v>213</v>
      </c>
      <c r="H221" s="34">
        <v>44000</v>
      </c>
      <c r="I221" s="62">
        <f>$H221/$H$238</f>
        <v>0.0008713452163809546</v>
      </c>
    </row>
    <row r="222" spans="2:8" ht="12.75">
      <c r="B222" t="s">
        <v>356</v>
      </c>
      <c r="H222" s="34"/>
    </row>
    <row r="223" spans="2:9" ht="12.75">
      <c r="B223" t="s">
        <v>357</v>
      </c>
      <c r="H223" s="34">
        <v>4000</v>
      </c>
      <c r="I223" s="62">
        <f>$H223/$H$238</f>
        <v>7.92132014891777E-05</v>
      </c>
    </row>
    <row r="224" spans="2:9" ht="12.75">
      <c r="B224" t="s">
        <v>183</v>
      </c>
      <c r="H224" s="34">
        <f>400+120</f>
        <v>520</v>
      </c>
      <c r="I224" s="62">
        <f>$H224/$H$238</f>
        <v>1.02977161935931E-05</v>
      </c>
    </row>
    <row r="225" ht="12.75">
      <c r="H225" s="34"/>
    </row>
    <row r="226" spans="1:9" s="3" customFormat="1" ht="12.75">
      <c r="A226" s="3" t="s">
        <v>86</v>
      </c>
      <c r="B226" s="3" t="s">
        <v>87</v>
      </c>
      <c r="D226" s="8"/>
      <c r="E226" s="8"/>
      <c r="H226" s="35"/>
      <c r="I226" s="66"/>
    </row>
    <row r="227" spans="2:9" ht="12.75">
      <c r="B227" t="s">
        <v>362</v>
      </c>
      <c r="H227" s="35">
        <f>SUM(H228:H229)</f>
        <v>113340</v>
      </c>
      <c r="I227" s="62">
        <f>$H227/$H$238</f>
        <v>0.00224450606419585</v>
      </c>
    </row>
    <row r="228" spans="2:10" ht="12.75">
      <c r="B228" t="s">
        <v>363</v>
      </c>
      <c r="H228" s="34">
        <v>66000</v>
      </c>
      <c r="I228" s="62">
        <f>$H228/$H$238</f>
        <v>0.001307017824571432</v>
      </c>
      <c r="J228" s="30"/>
    </row>
    <row r="229" spans="2:9" ht="12.75">
      <c r="B229" t="s">
        <v>364</v>
      </c>
      <c r="H229" s="34">
        <v>47340</v>
      </c>
      <c r="I229" s="62">
        <f>$H229/$H$238</f>
        <v>0.0009374882396244181</v>
      </c>
    </row>
    <row r="230" ht="12.75">
      <c r="H230" s="34"/>
    </row>
    <row r="231" ht="12.75">
      <c r="H231" s="34"/>
    </row>
    <row r="232" spans="1:9" ht="12.75">
      <c r="A232" s="3" t="s">
        <v>88</v>
      </c>
      <c r="B232" s="3" t="s">
        <v>128</v>
      </c>
      <c r="H232" s="33"/>
      <c r="I232" s="66"/>
    </row>
    <row r="233" spans="1:9" ht="12.75">
      <c r="A233" s="3"/>
      <c r="B233" s="6" t="s">
        <v>365</v>
      </c>
      <c r="H233" s="35">
        <f>SUM(H234:H235)</f>
        <v>13696.8</v>
      </c>
      <c r="I233" s="62">
        <f>$H233/$H$238</f>
        <v>0.0002712418445392423</v>
      </c>
    </row>
    <row r="234" spans="2:9" ht="12.75">
      <c r="B234" t="s">
        <v>366</v>
      </c>
      <c r="H234" s="34">
        <v>1500</v>
      </c>
      <c r="I234" s="62">
        <f>$H234/$H$238</f>
        <v>2.9704950558441637E-05</v>
      </c>
    </row>
    <row r="235" spans="2:9" ht="12.75">
      <c r="B235" t="s">
        <v>367</v>
      </c>
      <c r="H235" s="34">
        <v>12196.8</v>
      </c>
      <c r="I235" s="62">
        <f>$H235/$H$238</f>
        <v>0.00024153689398080061</v>
      </c>
    </row>
    <row r="236" ht="12.75">
      <c r="H236" s="34"/>
    </row>
    <row r="237" ht="12.75">
      <c r="H237" s="34"/>
    </row>
    <row r="238" spans="2:9" s="1" customFormat="1" ht="15">
      <c r="B238" s="1" t="s">
        <v>58</v>
      </c>
      <c r="D238" s="11"/>
      <c r="E238" s="11"/>
      <c r="F238" s="67"/>
      <c r="H238" s="33">
        <f>+H66+H73+H80+H130+H138+H142+H148+H171+H181+H208+H227+H233</f>
        <v>50496633.449999996</v>
      </c>
      <c r="I238" s="66">
        <f>$H238/$H$238</f>
        <v>1</v>
      </c>
    </row>
    <row r="239" spans="1:9" s="1" customFormat="1" ht="15">
      <c r="A239" s="1" t="s">
        <v>184</v>
      </c>
      <c r="D239" s="11"/>
      <c r="E239" s="11"/>
      <c r="H239" s="33"/>
      <c r="I239" s="66"/>
    </row>
    <row r="240" spans="1:9" s="1" customFormat="1" ht="15">
      <c r="A240" s="1" t="s">
        <v>185</v>
      </c>
      <c r="D240" s="11"/>
      <c r="E240" s="11"/>
      <c r="H240" s="44">
        <f>H238-H241</f>
        <v>36016438.8</v>
      </c>
      <c r="I240" s="66">
        <f>$H240/$H$238</f>
        <v>0.7132443558967593</v>
      </c>
    </row>
    <row r="241" spans="1:9" s="1" customFormat="1" ht="15">
      <c r="A241" s="1" t="s">
        <v>186</v>
      </c>
      <c r="D241" s="11"/>
      <c r="E241" s="11"/>
      <c r="H241" s="44">
        <f>+H69+H71+H88+H90+H91+H205</f>
        <v>14480194.65</v>
      </c>
      <c r="I241" s="66">
        <f>$H241/$H$238</f>
        <v>0.2867556441032407</v>
      </c>
    </row>
    <row r="242" spans="4:9" s="1" customFormat="1" ht="15">
      <c r="D242" s="11"/>
      <c r="E242" s="11"/>
      <c r="H242" s="33"/>
      <c r="I242" s="62"/>
    </row>
    <row r="243" spans="1:8" ht="14.25">
      <c r="A243" s="2" t="s">
        <v>59</v>
      </c>
      <c r="H243" s="34"/>
    </row>
    <row r="244" ht="12.75">
      <c r="H244" s="34"/>
    </row>
    <row r="245" spans="1:11" s="10" customFormat="1" ht="15">
      <c r="A245" s="5" t="s">
        <v>91</v>
      </c>
      <c r="B245" s="5"/>
      <c r="C245" s="5"/>
      <c r="D245" s="12"/>
      <c r="E245" s="12"/>
      <c r="F245" s="5"/>
      <c r="G245" s="5"/>
      <c r="H245" s="35">
        <f>+H247+H251+H255+H259+H263+H274+H280+H299+H302+H312+H315+H324+H329+H353+H361+H379+H390+H408+H412</f>
        <v>29744260.27</v>
      </c>
      <c r="I245" s="68">
        <f>$H245/$H$485</f>
        <v>0.5284491260980074</v>
      </c>
      <c r="J245" s="47"/>
      <c r="K245" s="47"/>
    </row>
    <row r="246" spans="1:8" ht="12.75">
      <c r="A246" s="3" t="s">
        <v>54</v>
      </c>
      <c r="H246" s="34"/>
    </row>
    <row r="247" spans="1:10" s="17" customFormat="1" ht="12.75">
      <c r="A247" s="17" t="s">
        <v>115</v>
      </c>
      <c r="B247" s="17" t="s">
        <v>68</v>
      </c>
      <c r="D247" s="18"/>
      <c r="E247" s="18"/>
      <c r="H247" s="35">
        <f>SUM(H248:H248)</f>
        <v>400</v>
      </c>
      <c r="I247" s="68">
        <f>$H247/$H$485</f>
        <v>7.106569419458721E-06</v>
      </c>
      <c r="J247" s="29"/>
    </row>
    <row r="248" spans="1:9" ht="12.75">
      <c r="A248" s="3"/>
      <c r="B248" t="s">
        <v>37</v>
      </c>
      <c r="H248" s="34">
        <v>400</v>
      </c>
      <c r="I248" s="64">
        <f>$H248/$H$485</f>
        <v>7.106569419458721E-06</v>
      </c>
    </row>
    <row r="249" spans="1:8" ht="12.75">
      <c r="A249" s="3"/>
      <c r="H249" s="34"/>
    </row>
    <row r="250" spans="1:9" s="3" customFormat="1" ht="12.75">
      <c r="A250" s="3" t="s">
        <v>287</v>
      </c>
      <c r="B250" s="3" t="s">
        <v>288</v>
      </c>
      <c r="D250" s="8"/>
      <c r="E250" s="8"/>
      <c r="H250" s="33"/>
      <c r="I250" s="74"/>
    </row>
    <row r="251" spans="2:9" s="3" customFormat="1" ht="12.75">
      <c r="B251" s="3" t="s">
        <v>289</v>
      </c>
      <c r="D251" s="8"/>
      <c r="E251" s="8"/>
      <c r="H251" s="33">
        <f>H253</f>
        <v>5000</v>
      </c>
      <c r="I251" s="68">
        <f>$H251/$H$485</f>
        <v>8.8832117743234E-05</v>
      </c>
    </row>
    <row r="252" spans="1:8" ht="12.75">
      <c r="A252" s="3"/>
      <c r="B252" t="s">
        <v>290</v>
      </c>
      <c r="H252" s="34"/>
    </row>
    <row r="253" spans="1:9" ht="12.75">
      <c r="A253" s="3"/>
      <c r="B253" t="s">
        <v>291</v>
      </c>
      <c r="H253" s="34">
        <v>5000</v>
      </c>
      <c r="I253" s="64">
        <f>$H253/$H$485</f>
        <v>8.8832117743234E-05</v>
      </c>
    </row>
    <row r="254" spans="1:8" ht="12.75">
      <c r="A254" s="3"/>
      <c r="H254" s="34"/>
    </row>
    <row r="255" spans="1:10" s="3" customFormat="1" ht="12.75">
      <c r="A255" s="3" t="s">
        <v>89</v>
      </c>
      <c r="B255" s="3" t="s">
        <v>90</v>
      </c>
      <c r="D255" s="8"/>
      <c r="E255" s="8"/>
      <c r="H255" s="33">
        <f>SUM(H256:H256)</f>
        <v>1148500</v>
      </c>
      <c r="I255" s="68">
        <f>$H255/$H$485</f>
        <v>0.020404737445620852</v>
      </c>
      <c r="J255" s="28"/>
    </row>
    <row r="256" spans="2:9" ht="12.75">
      <c r="B256" t="s">
        <v>152</v>
      </c>
      <c r="H256" s="36">
        <f>3500+1078000+59000+8000</f>
        <v>1148500</v>
      </c>
      <c r="I256" s="64">
        <f>$H256/$H$485</f>
        <v>0.020404737445620852</v>
      </c>
    </row>
    <row r="257" spans="8:9" ht="12.75">
      <c r="H257" s="36"/>
      <c r="I257" s="64"/>
    </row>
    <row r="258" spans="8:9" ht="12.75">
      <c r="H258" s="36"/>
      <c r="I258" s="64"/>
    </row>
    <row r="259" spans="1:10" s="3" customFormat="1" ht="12.75">
      <c r="A259" s="3" t="s">
        <v>69</v>
      </c>
      <c r="B259" s="3" t="s">
        <v>92</v>
      </c>
      <c r="D259" s="8"/>
      <c r="E259" s="8"/>
      <c r="H259" s="33">
        <f>SUM(H260:H261)</f>
        <v>497530</v>
      </c>
      <c r="I259" s="68">
        <f>$H259/$H$485</f>
        <v>0.008839328708158243</v>
      </c>
      <c r="J259" s="28"/>
    </row>
    <row r="260" spans="2:9" ht="12.75">
      <c r="B260" t="s">
        <v>214</v>
      </c>
      <c r="H260" s="34">
        <v>360000</v>
      </c>
      <c r="I260" s="64">
        <f>$H260/$H$485</f>
        <v>0.006395912477512849</v>
      </c>
    </row>
    <row r="261" spans="2:9" ht="12.75">
      <c r="B261" t="s">
        <v>215</v>
      </c>
      <c r="H261" s="34">
        <f>497530-360000</f>
        <v>137530</v>
      </c>
      <c r="I261" s="64">
        <f>$H261/$H$485</f>
        <v>0.0024434162306453946</v>
      </c>
    </row>
    <row r="262" ht="12.75">
      <c r="H262" s="34"/>
    </row>
    <row r="263" spans="1:10" s="3" customFormat="1" ht="14.25" customHeight="1">
      <c r="A263" s="3" t="s">
        <v>71</v>
      </c>
      <c r="B263" s="3" t="s">
        <v>72</v>
      </c>
      <c r="D263" s="8"/>
      <c r="E263" s="8"/>
      <c r="H263" s="33">
        <f>+H265+H266+H267</f>
        <v>1275396</v>
      </c>
      <c r="I263" s="68">
        <f>$H263/$H$485</f>
        <v>0.022659225528249935</v>
      </c>
      <c r="J263" s="28"/>
    </row>
    <row r="264" spans="2:10" ht="12.75">
      <c r="B264" t="s">
        <v>188</v>
      </c>
      <c r="H264" s="34"/>
      <c r="I264" s="64"/>
      <c r="J264" s="30"/>
    </row>
    <row r="265" spans="2:9" ht="12.75">
      <c r="B265" t="s">
        <v>216</v>
      </c>
      <c r="H265" s="34">
        <f>70000+60000+5000</f>
        <v>135000</v>
      </c>
      <c r="I265" s="64">
        <f>$H265/$H$485</f>
        <v>0.0023984671790673183</v>
      </c>
    </row>
    <row r="266" spans="2:9" ht="12.75">
      <c r="B266" t="s">
        <v>368</v>
      </c>
      <c r="H266" s="34">
        <v>8000</v>
      </c>
      <c r="I266" s="64">
        <f>$H266/$H$485</f>
        <v>0.0001421313883891744</v>
      </c>
    </row>
    <row r="267" spans="2:9" ht="12.75">
      <c r="B267" t="s">
        <v>24</v>
      </c>
      <c r="H267" s="34">
        <f>SUM(F269:F272)</f>
        <v>1132396</v>
      </c>
      <c r="I267" s="64">
        <f>$H267/$H$485</f>
        <v>0.020118626960793445</v>
      </c>
    </row>
    <row r="268" spans="2:8" ht="12.75">
      <c r="B268" t="s">
        <v>57</v>
      </c>
      <c r="H268" s="34"/>
    </row>
    <row r="269" spans="2:8" ht="12.75">
      <c r="B269" t="s">
        <v>165</v>
      </c>
      <c r="F269" s="61">
        <v>10396</v>
      </c>
      <c r="H269" s="34"/>
    </row>
    <row r="270" spans="2:8" ht="15" customHeight="1">
      <c r="B270" s="41" t="s">
        <v>166</v>
      </c>
      <c r="F270" s="61"/>
      <c r="H270" s="34"/>
    </row>
    <row r="271" spans="2:8" ht="15" customHeight="1">
      <c r="B271" t="s">
        <v>369</v>
      </c>
      <c r="F271" s="61">
        <f>1062000+35000</f>
        <v>1097000</v>
      </c>
      <c r="H271" s="34"/>
    </row>
    <row r="272" spans="2:8" ht="15" customHeight="1">
      <c r="B272" t="s">
        <v>25</v>
      </c>
      <c r="F272" s="61">
        <v>25000</v>
      </c>
      <c r="H272" s="34"/>
    </row>
    <row r="273" spans="6:8" ht="15" customHeight="1">
      <c r="F273" s="4"/>
      <c r="H273" s="34"/>
    </row>
    <row r="274" spans="1:10" s="17" customFormat="1" ht="12.75">
      <c r="A274" s="17" t="s">
        <v>93</v>
      </c>
      <c r="B274" s="17" t="s">
        <v>94</v>
      </c>
      <c r="D274" s="18"/>
      <c r="E274" s="18"/>
      <c r="H274" s="35">
        <f>SUM(H275:H278)</f>
        <v>711202</v>
      </c>
      <c r="I274" s="68">
        <f>$H274/$H$485</f>
        <v>0.012635515960644703</v>
      </c>
      <c r="J274" s="29"/>
    </row>
    <row r="275" spans="2:9" ht="12.75">
      <c r="B275" t="s">
        <v>95</v>
      </c>
      <c r="H275" s="34">
        <v>644202</v>
      </c>
      <c r="I275" s="64">
        <f>$H275/$H$485</f>
        <v>0.011445165582885367</v>
      </c>
    </row>
    <row r="276" spans="2:8" ht="12.75">
      <c r="B276" t="s">
        <v>125</v>
      </c>
      <c r="H276" s="34"/>
    </row>
    <row r="277" spans="2:8" ht="12.75">
      <c r="B277" t="s">
        <v>96</v>
      </c>
      <c r="H277" s="34"/>
    </row>
    <row r="278" spans="2:9" ht="12.75">
      <c r="B278" t="s">
        <v>97</v>
      </c>
      <c r="H278" s="34">
        <v>67000</v>
      </c>
      <c r="I278" s="64">
        <f>$H278/$H$485</f>
        <v>0.0011903503777593357</v>
      </c>
    </row>
    <row r="279" ht="12.75">
      <c r="H279" s="34"/>
    </row>
    <row r="280" spans="1:12" s="3" customFormat="1" ht="12.75">
      <c r="A280" s="3" t="s">
        <v>75</v>
      </c>
      <c r="B280" s="3" t="s">
        <v>98</v>
      </c>
      <c r="D280" s="8"/>
      <c r="E280" s="8"/>
      <c r="H280" s="33">
        <f>SUM(H281:H297)</f>
        <v>4899321.41</v>
      </c>
      <c r="I280" s="68">
        <f aca="true" t="shared" si="1" ref="I280:I288">$H280/$H$485</f>
        <v>0.08704341927101346</v>
      </c>
      <c r="J280" s="28"/>
      <c r="L280" s="28"/>
    </row>
    <row r="281" spans="2:9" ht="12.75">
      <c r="B281" t="s">
        <v>65</v>
      </c>
      <c r="H281" s="34">
        <v>225832</v>
      </c>
      <c r="I281" s="64">
        <f t="shared" si="1"/>
        <v>0.0040122269628380045</v>
      </c>
    </row>
    <row r="282" spans="2:9" ht="12.75">
      <c r="B282" t="s">
        <v>126</v>
      </c>
      <c r="H282" s="34">
        <v>165000</v>
      </c>
      <c r="I282" s="64">
        <f t="shared" si="1"/>
        <v>0.0029314598855267222</v>
      </c>
    </row>
    <row r="283" spans="2:9" ht="12.75">
      <c r="B283" t="s">
        <v>127</v>
      </c>
      <c r="H283" s="34">
        <f>3614424.41-62626</f>
        <v>3551798.41</v>
      </c>
      <c r="I283" s="64">
        <f t="shared" si="1"/>
        <v>0.06310275491147027</v>
      </c>
    </row>
    <row r="284" spans="2:9" ht="12.75">
      <c r="B284" t="s">
        <v>370</v>
      </c>
      <c r="H284" s="34">
        <v>600</v>
      </c>
      <c r="I284" s="64">
        <f t="shared" si="1"/>
        <v>1.0659854129188081E-05</v>
      </c>
    </row>
    <row r="285" spans="2:9" ht="12.75">
      <c r="B285" t="s">
        <v>26</v>
      </c>
      <c r="H285" s="34">
        <v>633500</v>
      </c>
      <c r="I285" s="64">
        <f t="shared" si="1"/>
        <v>0.011255029318067749</v>
      </c>
    </row>
    <row r="286" spans="2:9" ht="12.75">
      <c r="B286" t="s">
        <v>371</v>
      </c>
      <c r="H286" s="34">
        <v>12600</v>
      </c>
      <c r="I286" s="64">
        <f t="shared" si="1"/>
        <v>0.0002238569367129497</v>
      </c>
    </row>
    <row r="287" spans="2:9" ht="12.75">
      <c r="B287" t="s">
        <v>372</v>
      </c>
      <c r="H287" s="34">
        <f>5600+850+140</f>
        <v>6590</v>
      </c>
      <c r="I287" s="64">
        <f t="shared" si="1"/>
        <v>0.00011708073118558243</v>
      </c>
    </row>
    <row r="288" spans="2:9" ht="12.75">
      <c r="B288" t="s">
        <v>373</v>
      </c>
      <c r="H288" s="34">
        <f>78000+7200+4000+200</f>
        <v>89400</v>
      </c>
      <c r="I288" s="64">
        <f t="shared" si="1"/>
        <v>0.0015883182652490242</v>
      </c>
    </row>
    <row r="289" spans="2:8" ht="12.75">
      <c r="B289" t="s">
        <v>374</v>
      </c>
      <c r="H289" s="34"/>
    </row>
    <row r="290" spans="2:9" ht="12.75">
      <c r="B290" t="s">
        <v>162</v>
      </c>
      <c r="H290" s="34">
        <v>150000</v>
      </c>
      <c r="I290" s="64">
        <f aca="true" t="shared" si="2" ref="I290:I297">$H290/$H$485</f>
        <v>0.00266496353229702</v>
      </c>
    </row>
    <row r="291" spans="2:9" ht="12.75">
      <c r="B291" t="s">
        <v>64</v>
      </c>
      <c r="H291" s="34">
        <v>3300</v>
      </c>
      <c r="I291" s="64">
        <f t="shared" si="2"/>
        <v>5.8629197710534444E-05</v>
      </c>
    </row>
    <row r="292" spans="2:9" ht="12.75">
      <c r="B292" t="s">
        <v>119</v>
      </c>
      <c r="H292" s="34">
        <v>4200</v>
      </c>
      <c r="I292" s="64">
        <f t="shared" si="2"/>
        <v>7.461897890431657E-05</v>
      </c>
    </row>
    <row r="293" spans="2:9" ht="12.75">
      <c r="B293" t="s">
        <v>189</v>
      </c>
      <c r="H293" s="34">
        <v>6700</v>
      </c>
      <c r="I293" s="64">
        <f t="shared" si="2"/>
        <v>0.00011903503777593357</v>
      </c>
    </row>
    <row r="294" spans="2:9" ht="12.75">
      <c r="B294" t="s">
        <v>156</v>
      </c>
      <c r="H294" s="34">
        <v>1400</v>
      </c>
      <c r="I294" s="64">
        <f t="shared" si="2"/>
        <v>2.487299296810552E-05</v>
      </c>
    </row>
    <row r="295" spans="2:9" ht="12.75">
      <c r="B295" t="s">
        <v>217</v>
      </c>
      <c r="H295" s="34">
        <v>1650</v>
      </c>
      <c r="I295" s="64">
        <f t="shared" si="2"/>
        <v>2.9314598855267222E-05</v>
      </c>
    </row>
    <row r="296" spans="2:9" ht="12.75">
      <c r="B296" t="s">
        <v>375</v>
      </c>
      <c r="H296" s="34">
        <v>1200</v>
      </c>
      <c r="I296" s="64">
        <f t="shared" si="2"/>
        <v>2.1319708258376163E-05</v>
      </c>
    </row>
    <row r="297" spans="2:9" ht="12.75">
      <c r="B297" t="s">
        <v>376</v>
      </c>
      <c r="H297" s="34">
        <v>45551</v>
      </c>
      <c r="I297" s="64">
        <f t="shared" si="2"/>
        <v>0.0008092783590644104</v>
      </c>
    </row>
    <row r="298" ht="12.75">
      <c r="H298" s="34"/>
    </row>
    <row r="299" spans="1:9" s="3" customFormat="1" ht="12.75">
      <c r="A299" s="3" t="s">
        <v>77</v>
      </c>
      <c r="B299" s="3" t="s">
        <v>99</v>
      </c>
      <c r="D299" s="8"/>
      <c r="E299" s="8"/>
      <c r="H299" s="33">
        <f>SUM(H300:H300)</f>
        <v>1140</v>
      </c>
      <c r="I299" s="68">
        <f>$H299/$H$485</f>
        <v>2.0253722845457353E-05</v>
      </c>
    </row>
    <row r="300" spans="2:9" ht="12.75">
      <c r="B300" t="s">
        <v>218</v>
      </c>
      <c r="H300" s="34">
        <v>1140</v>
      </c>
      <c r="I300" s="64">
        <f>$H300/$H$485</f>
        <v>2.0253722845457353E-05</v>
      </c>
    </row>
    <row r="301" ht="12.75">
      <c r="H301" s="34"/>
    </row>
    <row r="302" spans="1:10" s="17" customFormat="1" ht="12.75">
      <c r="A302" s="17" t="s">
        <v>79</v>
      </c>
      <c r="B302" s="20" t="s">
        <v>100</v>
      </c>
      <c r="D302" s="18"/>
      <c r="E302" s="18"/>
      <c r="H302" s="35">
        <f>SUM(H303:H307)</f>
        <v>645422</v>
      </c>
      <c r="I302" s="68">
        <f aca="true" t="shared" si="3" ref="I302:I307">$H302/$H$485</f>
        <v>0.011466840619614716</v>
      </c>
      <c r="J302" s="29"/>
    </row>
    <row r="303" spans="2:9" ht="12.75">
      <c r="B303" t="s">
        <v>377</v>
      </c>
      <c r="H303" s="34">
        <v>10000</v>
      </c>
      <c r="I303" s="64">
        <f t="shared" si="3"/>
        <v>0.000177664235486468</v>
      </c>
    </row>
    <row r="304" spans="2:9" ht="12.75">
      <c r="B304" t="s">
        <v>27</v>
      </c>
      <c r="H304" s="34">
        <v>142300</v>
      </c>
      <c r="I304" s="64">
        <f t="shared" si="3"/>
        <v>0.0025281620709724398</v>
      </c>
    </row>
    <row r="305" spans="2:9" ht="12.75">
      <c r="B305" t="s">
        <v>28</v>
      </c>
      <c r="H305" s="34">
        <v>11150</v>
      </c>
      <c r="I305" s="64">
        <f t="shared" si="3"/>
        <v>0.00019809562256741184</v>
      </c>
    </row>
    <row r="306" spans="2:9" ht="12.75">
      <c r="B306" t="s">
        <v>292</v>
      </c>
      <c r="H306" s="34">
        <v>478972</v>
      </c>
      <c r="I306" s="64">
        <f t="shared" si="3"/>
        <v>0.008509619419942455</v>
      </c>
    </row>
    <row r="307" spans="2:9" ht="12.75">
      <c r="B307" t="s">
        <v>293</v>
      </c>
      <c r="H307" s="34">
        <v>3000</v>
      </c>
      <c r="I307" s="64">
        <f t="shared" si="3"/>
        <v>5.3299270645940405E-05</v>
      </c>
    </row>
    <row r="308" spans="8:9" ht="12.75">
      <c r="H308" s="34"/>
      <c r="I308" s="64"/>
    </row>
    <row r="309" spans="1:9" s="17" customFormat="1" ht="12.75">
      <c r="A309" s="17" t="s">
        <v>81</v>
      </c>
      <c r="B309" s="17" t="s">
        <v>378</v>
      </c>
      <c r="D309" s="18"/>
      <c r="E309" s="18"/>
      <c r="H309" s="35"/>
      <c r="I309" s="68"/>
    </row>
    <row r="310" spans="2:9" s="17" customFormat="1" ht="12.75">
      <c r="B310" s="17" t="s">
        <v>379</v>
      </c>
      <c r="D310" s="18"/>
      <c r="E310" s="18"/>
      <c r="H310" s="35"/>
      <c r="I310" s="68"/>
    </row>
    <row r="311" spans="2:9" s="17" customFormat="1" ht="12.75">
      <c r="B311" s="17" t="s">
        <v>380</v>
      </c>
      <c r="D311" s="18"/>
      <c r="E311" s="18"/>
      <c r="H311" s="35"/>
      <c r="I311" s="68"/>
    </row>
    <row r="312" spans="2:9" s="17" customFormat="1" ht="12.75">
      <c r="B312" s="17" t="s">
        <v>381</v>
      </c>
      <c r="D312" s="18"/>
      <c r="E312" s="18"/>
      <c r="H312" s="35">
        <f>H313</f>
        <v>119950</v>
      </c>
      <c r="I312" s="68">
        <f>$H312/$H$485</f>
        <v>0.0021310825046601837</v>
      </c>
    </row>
    <row r="313" spans="2:9" ht="12.75">
      <c r="B313" t="s">
        <v>382</v>
      </c>
      <c r="H313" s="34">
        <v>119950</v>
      </c>
      <c r="I313" s="64">
        <f>$H313/$H$485</f>
        <v>0.0021310825046601837</v>
      </c>
    </row>
    <row r="314" ht="12.75">
      <c r="H314" s="34"/>
    </row>
    <row r="315" spans="1:9" s="17" customFormat="1" ht="12.75">
      <c r="A315" s="17" t="s">
        <v>101</v>
      </c>
      <c r="B315" s="17" t="s">
        <v>102</v>
      </c>
      <c r="D315" s="18"/>
      <c r="E315" s="18"/>
      <c r="H315" s="35">
        <f>SUM(H316:H319)</f>
        <v>1185000</v>
      </c>
      <c r="I315" s="68">
        <f>$H315/$H$485</f>
        <v>0.02105321190514646</v>
      </c>
    </row>
    <row r="316" spans="2:9" ht="12.75">
      <c r="B316" t="s">
        <v>167</v>
      </c>
      <c r="H316" s="34">
        <v>2000</v>
      </c>
      <c r="I316" s="64">
        <f>$H316/$H$485</f>
        <v>3.55328470972936E-05</v>
      </c>
    </row>
    <row r="317" spans="2:9" ht="12.75">
      <c r="B317" t="s">
        <v>383</v>
      </c>
      <c r="H317" s="34">
        <f>155000+280000+41000+230000+180000+250000</f>
        <v>1136000</v>
      </c>
      <c r="I317" s="64">
        <f>$H317/$H$485</f>
        <v>0.020182657151262766</v>
      </c>
    </row>
    <row r="318" spans="2:9" ht="12.75">
      <c r="B318" t="s">
        <v>190</v>
      </c>
      <c r="H318" s="34">
        <v>27000</v>
      </c>
      <c r="I318" s="64">
        <f>$H318/$H$485</f>
        <v>0.00047969343581346366</v>
      </c>
    </row>
    <row r="319" spans="2:9" ht="12.75">
      <c r="B319" t="s">
        <v>384</v>
      </c>
      <c r="H319" s="34">
        <v>20000</v>
      </c>
      <c r="I319" s="64">
        <f>$H319/$H$485</f>
        <v>0.000355328470972936</v>
      </c>
    </row>
    <row r="320" ht="12.75">
      <c r="H320" s="34"/>
    </row>
    <row r="321" ht="12.75">
      <c r="H321" s="34"/>
    </row>
    <row r="322" ht="12.75">
      <c r="H322" s="34"/>
    </row>
    <row r="323" ht="12.75">
      <c r="H323" s="34"/>
    </row>
    <row r="324" spans="1:9" s="17" customFormat="1" ht="12.75">
      <c r="A324" s="17" t="s">
        <v>84</v>
      </c>
      <c r="B324" s="17" t="s">
        <v>103</v>
      </c>
      <c r="D324" s="18"/>
      <c r="E324" s="18"/>
      <c r="H324" s="35">
        <f>SUM(H325:H327)</f>
        <v>120000</v>
      </c>
      <c r="I324" s="68">
        <f>$H324/$H$485</f>
        <v>0.002131970825837616</v>
      </c>
    </row>
    <row r="325" spans="2:9" ht="12.75">
      <c r="B325" t="s">
        <v>385</v>
      </c>
      <c r="H325" s="34">
        <v>100000</v>
      </c>
      <c r="I325" s="64">
        <f>$H325/$H$485</f>
        <v>0.0017766423548646801</v>
      </c>
    </row>
    <row r="326" spans="2:8" ht="12.75">
      <c r="B326" t="s">
        <v>386</v>
      </c>
      <c r="H326" s="34"/>
    </row>
    <row r="327" spans="2:9" ht="12.75">
      <c r="B327" t="s">
        <v>294</v>
      </c>
      <c r="H327" s="34">
        <v>20000</v>
      </c>
      <c r="I327" s="64">
        <f>$H327/$H$485</f>
        <v>0.000355328470972936</v>
      </c>
    </row>
    <row r="328" ht="12.75">
      <c r="H328" s="34"/>
    </row>
    <row r="329" spans="1:11" s="17" customFormat="1" ht="12.75">
      <c r="A329" s="17" t="s">
        <v>85</v>
      </c>
      <c r="B329" s="17" t="s">
        <v>45</v>
      </c>
      <c r="D329" s="18"/>
      <c r="E329" s="18"/>
      <c r="H329" s="35">
        <f>+H331+H332+H333+H334+H336+H337+H338+H339+H344+H345+H347+H349+H350</f>
        <v>8355090.2</v>
      </c>
      <c r="I329" s="68">
        <f>$H329/$H$485</f>
        <v>0.1484400712803481</v>
      </c>
      <c r="J329" s="29"/>
      <c r="K329" s="29"/>
    </row>
    <row r="330" spans="2:9" s="25" customFormat="1" ht="12.75">
      <c r="B330" s="16" t="s">
        <v>29</v>
      </c>
      <c r="D330" s="70"/>
      <c r="E330" s="70"/>
      <c r="F330" s="70"/>
      <c r="G330" s="70"/>
      <c r="H330" s="32"/>
      <c r="I330" s="64"/>
    </row>
    <row r="331" spans="2:10" s="25" customFormat="1" ht="12.75">
      <c r="B331" s="16" t="s">
        <v>463</v>
      </c>
      <c r="D331" s="70"/>
      <c r="E331" s="70"/>
      <c r="F331" s="70"/>
      <c r="G331" s="70"/>
      <c r="H331" s="32">
        <f>8500+1820400+122500+288400+46800+13615+28600+25000+7000+146450+5000+2000+90000+5000+2000+51959.2+3000+90000+3+2000+1000+4000</f>
        <v>2763227.2</v>
      </c>
      <c r="I331" s="64">
        <f>$H331/$H$485</f>
        <v>0.04909266479634137</v>
      </c>
      <c r="J331" s="71"/>
    </row>
    <row r="332" spans="2:9" s="25" customFormat="1" ht="12.75">
      <c r="B332" s="16" t="s">
        <v>191</v>
      </c>
      <c r="D332" s="70"/>
      <c r="E332" s="70"/>
      <c r="F332" s="70"/>
      <c r="G332" s="70"/>
      <c r="H332" s="32">
        <f>36550+540200+40720+96990+15370+23000+45000+2000+15250+2000+1000+22000+1000+2000+1000+2000+28550+1500+500+500+3000</f>
        <v>880130</v>
      </c>
      <c r="I332" s="64">
        <f>$H332/$H$485</f>
        <v>0.01563676235787051</v>
      </c>
    </row>
    <row r="333" spans="2:9" s="16" customFormat="1" ht="12.75">
      <c r="B333" s="16" t="s">
        <v>157</v>
      </c>
      <c r="D333" s="21"/>
      <c r="E333" s="21"/>
      <c r="F333" s="21"/>
      <c r="G333" s="21"/>
      <c r="H333" s="32">
        <v>52350</v>
      </c>
      <c r="I333" s="64">
        <f>$H333/$H$485</f>
        <v>0.0009300722727716601</v>
      </c>
    </row>
    <row r="334" spans="2:9" s="16" customFormat="1" ht="12.75">
      <c r="B334" s="16" t="s">
        <v>192</v>
      </c>
      <c r="D334" s="21"/>
      <c r="E334" s="21"/>
      <c r="F334" s="21"/>
      <c r="G334" s="21"/>
      <c r="H334" s="32">
        <v>1725545</v>
      </c>
      <c r="I334" s="64">
        <f>$H334/$H$485</f>
        <v>0.030656763322249744</v>
      </c>
    </row>
    <row r="335" spans="2:7" s="16" customFormat="1" ht="12.75">
      <c r="B335" s="16" t="s">
        <v>282</v>
      </c>
      <c r="D335" s="21"/>
      <c r="E335" s="21"/>
      <c r="F335" s="21"/>
      <c r="G335" s="21"/>
    </row>
    <row r="336" spans="2:9" s="16" customFormat="1" ht="12.75">
      <c r="B336" s="16" t="s">
        <v>469</v>
      </c>
      <c r="D336" s="21"/>
      <c r="E336" s="21"/>
      <c r="F336" s="21"/>
      <c r="G336" s="21"/>
      <c r="H336" s="32">
        <f>2212000-7100-12000</f>
        <v>2192900</v>
      </c>
      <c r="I336" s="64">
        <f>$H336/$H$485</f>
        <v>0.03895999019982757</v>
      </c>
    </row>
    <row r="337" spans="2:9" s="16" customFormat="1" ht="12.75">
      <c r="B337" s="16" t="s">
        <v>193</v>
      </c>
      <c r="D337" s="21"/>
      <c r="E337" s="21"/>
      <c r="F337" s="69"/>
      <c r="H337" s="32">
        <v>103930</v>
      </c>
      <c r="I337" s="64">
        <f>$H337/$H$485</f>
        <v>0.0018464643994108622</v>
      </c>
    </row>
    <row r="338" spans="2:9" s="16" customFormat="1" ht="12.75">
      <c r="B338" s="16" t="s">
        <v>194</v>
      </c>
      <c r="D338" s="21"/>
      <c r="E338" s="21"/>
      <c r="F338" s="69"/>
      <c r="H338" s="32">
        <v>37170</v>
      </c>
      <c r="I338" s="64">
        <f>$H338/$H$485</f>
        <v>0.0006603779633032016</v>
      </c>
    </row>
    <row r="339" spans="2:9" s="16" customFormat="1" ht="12.75">
      <c r="B339" s="16" t="s">
        <v>195</v>
      </c>
      <c r="D339" s="21"/>
      <c r="E339" s="21"/>
      <c r="F339" s="69"/>
      <c r="H339" s="32">
        <f>SUM(F341:F343)</f>
        <v>453838</v>
      </c>
      <c r="I339" s="64">
        <f>$H339/$H$485</f>
        <v>0.008063078130470767</v>
      </c>
    </row>
    <row r="340" spans="2:9" s="16" customFormat="1" ht="12.75">
      <c r="B340" s="16" t="s">
        <v>53</v>
      </c>
      <c r="D340" s="21"/>
      <c r="E340" s="21"/>
      <c r="H340" s="32"/>
      <c r="I340" s="62"/>
    </row>
    <row r="341" spans="2:9" s="16" customFormat="1" ht="12.75">
      <c r="B341" s="16" t="s">
        <v>117</v>
      </c>
      <c r="D341" s="21"/>
      <c r="E341" s="21"/>
      <c r="F341" s="60">
        <f>550+83000+6800+13600+2200+1000+90000+13100+1500+3200</f>
        <v>214950</v>
      </c>
      <c r="H341" s="32"/>
      <c r="I341" s="62"/>
    </row>
    <row r="342" spans="2:9" s="16" customFormat="1" ht="12.75">
      <c r="B342" s="16" t="s">
        <v>51</v>
      </c>
      <c r="D342" s="21"/>
      <c r="E342" s="21"/>
      <c r="F342" s="60">
        <f>228+29620+2360+4950+790+1200+24840+3100+500+500+1300</f>
        <v>69388</v>
      </c>
      <c r="H342" s="32"/>
      <c r="I342" s="62"/>
    </row>
    <row r="343" spans="2:9" s="16" customFormat="1" ht="12.75">
      <c r="B343" s="16" t="s">
        <v>52</v>
      </c>
      <c r="D343" s="21"/>
      <c r="E343" s="21"/>
      <c r="F343" s="60">
        <f>58000+5400+9300+1500+2500+85800+4000+3000</f>
        <v>169500</v>
      </c>
      <c r="H343" s="32"/>
      <c r="I343" s="62"/>
    </row>
    <row r="344" spans="2:9" s="16" customFormat="1" ht="12.75">
      <c r="B344" s="16" t="s">
        <v>201</v>
      </c>
      <c r="D344" s="21"/>
      <c r="E344" s="21"/>
      <c r="H344" s="32">
        <v>1300</v>
      </c>
      <c r="I344" s="64">
        <f>$H344/$H$485</f>
        <v>2.3096350613240844E-05</v>
      </c>
    </row>
    <row r="345" spans="2:9" s="16" customFormat="1" ht="12.75">
      <c r="B345" s="16" t="s">
        <v>202</v>
      </c>
      <c r="D345" s="21"/>
      <c r="E345" s="21"/>
      <c r="H345" s="32">
        <f>7100+12000</f>
        <v>19100</v>
      </c>
      <c r="I345" s="64">
        <f>$H345/$H$485</f>
        <v>0.0003393386897791539</v>
      </c>
    </row>
    <row r="346" spans="2:9" s="16" customFormat="1" ht="12.75">
      <c r="B346" s="16" t="s">
        <v>203</v>
      </c>
      <c r="D346" s="21"/>
      <c r="E346" s="21"/>
      <c r="H346" s="32"/>
      <c r="I346" s="62"/>
    </row>
    <row r="347" spans="2:9" s="16" customFormat="1" ht="12.75">
      <c r="B347" s="16" t="s">
        <v>120</v>
      </c>
      <c r="D347" s="21"/>
      <c r="E347" s="21"/>
      <c r="H347" s="32">
        <v>2400</v>
      </c>
      <c r="I347" s="64">
        <f>$H347/$H$485</f>
        <v>4.2639416516752325E-05</v>
      </c>
    </row>
    <row r="348" spans="2:9" s="16" customFormat="1" ht="12.75">
      <c r="B348" s="16" t="s">
        <v>204</v>
      </c>
      <c r="D348" s="21"/>
      <c r="E348" s="21"/>
      <c r="H348" s="32"/>
      <c r="I348" s="62"/>
    </row>
    <row r="349" spans="2:9" s="16" customFormat="1" ht="12.75">
      <c r="B349" s="16" t="s">
        <v>151</v>
      </c>
      <c r="D349" s="21"/>
      <c r="E349" s="21"/>
      <c r="H349" s="32">
        <v>51200</v>
      </c>
      <c r="I349" s="64">
        <f>$H349/$H$485</f>
        <v>0.0009096408856907163</v>
      </c>
    </row>
    <row r="350" spans="2:9" s="16" customFormat="1" ht="12.75">
      <c r="B350" s="16" t="s">
        <v>387</v>
      </c>
      <c r="D350" s="21"/>
      <c r="E350" s="21"/>
      <c r="H350" s="32">
        <f>24720+4980+800+15000+1000+25000+500</f>
        <v>72000</v>
      </c>
      <c r="I350" s="64">
        <f>$H350/$H$485</f>
        <v>0.0012791824955025698</v>
      </c>
    </row>
    <row r="351" spans="4:9" s="75" customFormat="1" ht="12.75">
      <c r="D351" s="76"/>
      <c r="E351" s="76"/>
      <c r="H351" s="77"/>
      <c r="I351" s="78"/>
    </row>
    <row r="352" spans="4:9" s="75" customFormat="1" ht="12.75">
      <c r="D352" s="76"/>
      <c r="E352" s="76"/>
      <c r="H352" s="77"/>
      <c r="I352" s="78"/>
    </row>
    <row r="353" spans="1:9" s="17" customFormat="1" ht="12.75">
      <c r="A353" s="17" t="s">
        <v>104</v>
      </c>
      <c r="B353" s="17" t="s">
        <v>62</v>
      </c>
      <c r="D353" s="18"/>
      <c r="E353" s="18"/>
      <c r="H353" s="35">
        <f>SUM(H354:H358)</f>
        <v>490920</v>
      </c>
      <c r="I353" s="68">
        <f>$H353/$H$485</f>
        <v>0.008721892648501688</v>
      </c>
    </row>
    <row r="354" spans="2:9" s="16" customFormat="1" ht="12.75">
      <c r="B354" s="16" t="s">
        <v>163</v>
      </c>
      <c r="D354" s="21"/>
      <c r="E354" s="21"/>
      <c r="H354" s="32">
        <v>40000</v>
      </c>
      <c r="I354" s="64">
        <f>$H354/$H$485</f>
        <v>0.000710656941945872</v>
      </c>
    </row>
    <row r="355" spans="2:8" ht="12.75">
      <c r="B355" t="s">
        <v>164</v>
      </c>
      <c r="H355" s="34"/>
    </row>
    <row r="356" spans="2:9" ht="12.75">
      <c r="B356" t="s">
        <v>153</v>
      </c>
      <c r="H356" s="34">
        <f>380000-100000</f>
        <v>280000</v>
      </c>
      <c r="I356" s="64">
        <f>$H356/$H$485</f>
        <v>0.004974598593621105</v>
      </c>
    </row>
    <row r="357" spans="2:9" ht="12.75">
      <c r="B357" t="s">
        <v>219</v>
      </c>
      <c r="H357" s="34">
        <v>100000</v>
      </c>
      <c r="I357" s="64">
        <f>$H357/$H$485</f>
        <v>0.0017766423548646801</v>
      </c>
    </row>
    <row r="358" spans="2:9" ht="12.75">
      <c r="B358" t="s">
        <v>30</v>
      </c>
      <c r="H358" s="34">
        <v>70920</v>
      </c>
      <c r="I358" s="64">
        <f>$H358/$H$485</f>
        <v>0.0012599947580700312</v>
      </c>
    </row>
    <row r="359" ht="12.75">
      <c r="H359" s="34"/>
    </row>
    <row r="360" ht="12.75">
      <c r="H360" s="34"/>
    </row>
    <row r="361" spans="1:9" s="3" customFormat="1" ht="12.75">
      <c r="A361" s="3" t="s">
        <v>135</v>
      </c>
      <c r="B361" s="3" t="s">
        <v>137</v>
      </c>
      <c r="D361" s="8"/>
      <c r="E361" s="8"/>
      <c r="H361" s="33">
        <f>SUM(H363:H377)</f>
        <v>3156370</v>
      </c>
      <c r="I361" s="68">
        <f>$H361/$H$485</f>
        <v>0.056077406296242305</v>
      </c>
    </row>
    <row r="362" spans="2:9" s="16" customFormat="1" ht="12.75">
      <c r="B362" s="16" t="s">
        <v>388</v>
      </c>
      <c r="D362" s="21"/>
      <c r="E362" s="21"/>
      <c r="H362" s="32"/>
      <c r="I362" s="62"/>
    </row>
    <row r="363" spans="2:9" s="16" customFormat="1" ht="12.75">
      <c r="B363" s="16" t="s">
        <v>389</v>
      </c>
      <c r="D363" s="21"/>
      <c r="E363" s="21"/>
      <c r="H363" s="32"/>
      <c r="I363" s="62"/>
    </row>
    <row r="364" spans="2:9" s="16" customFormat="1" ht="12.75">
      <c r="B364" s="16" t="s">
        <v>31</v>
      </c>
      <c r="D364" s="21"/>
      <c r="E364" s="21"/>
      <c r="H364" s="32">
        <v>1253800</v>
      </c>
      <c r="I364" s="64">
        <f aca="true" t="shared" si="4" ref="I364:I372">$H364/$H$485</f>
        <v>0.02227554184529336</v>
      </c>
    </row>
    <row r="365" spans="2:9" s="16" customFormat="1" ht="12.75">
      <c r="B365" s="26" t="s">
        <v>390</v>
      </c>
      <c r="D365" s="21"/>
      <c r="E365" s="21"/>
      <c r="H365" s="32">
        <v>16000</v>
      </c>
      <c r="I365" s="64">
        <f t="shared" si="4"/>
        <v>0.0002842627767783488</v>
      </c>
    </row>
    <row r="366" spans="2:9" ht="12.75">
      <c r="B366" t="s">
        <v>391</v>
      </c>
      <c r="H366" s="34">
        <v>195000</v>
      </c>
      <c r="I366" s="64">
        <f t="shared" si="4"/>
        <v>0.003464452591986126</v>
      </c>
    </row>
    <row r="367" spans="2:9" ht="12.75">
      <c r="B367" t="s">
        <v>392</v>
      </c>
      <c r="H367" s="34">
        <v>182000</v>
      </c>
      <c r="I367" s="64">
        <f t="shared" si="4"/>
        <v>0.0032334890858537178</v>
      </c>
    </row>
    <row r="368" spans="2:9" ht="12.75">
      <c r="B368" t="s">
        <v>393</v>
      </c>
      <c r="H368" s="34">
        <v>2000</v>
      </c>
      <c r="I368" s="64">
        <f t="shared" si="4"/>
        <v>3.55328470972936E-05</v>
      </c>
    </row>
    <row r="369" spans="2:9" ht="12.75">
      <c r="B369" t="s">
        <v>394</v>
      </c>
      <c r="H369" s="34">
        <v>145000</v>
      </c>
      <c r="I369" s="64">
        <f t="shared" si="4"/>
        <v>0.0025761314145537864</v>
      </c>
    </row>
    <row r="370" spans="2:9" ht="12.75">
      <c r="B370" t="s">
        <v>395</v>
      </c>
      <c r="H370" s="34">
        <v>30000</v>
      </c>
      <c r="I370" s="64">
        <f t="shared" si="4"/>
        <v>0.000532992706459404</v>
      </c>
    </row>
    <row r="371" spans="2:9" ht="12.75">
      <c r="B371" t="s">
        <v>396</v>
      </c>
      <c r="H371" s="34">
        <v>190000</v>
      </c>
      <c r="I371" s="64">
        <f t="shared" si="4"/>
        <v>0.0033756204742428925</v>
      </c>
    </row>
    <row r="372" spans="2:9" ht="12.75">
      <c r="B372" t="s">
        <v>397</v>
      </c>
      <c r="H372" s="34">
        <v>688800</v>
      </c>
      <c r="I372" s="64">
        <f t="shared" si="4"/>
        <v>0.012237512540307917</v>
      </c>
    </row>
    <row r="373" spans="2:13" ht="12.75">
      <c r="B373" t="s">
        <v>398</v>
      </c>
      <c r="H373" s="34"/>
      <c r="I373" s="64"/>
      <c r="L373" s="4"/>
      <c r="M373" s="4"/>
    </row>
    <row r="374" spans="2:13" ht="12.75">
      <c r="B374" t="s">
        <v>399</v>
      </c>
      <c r="H374" s="34">
        <v>343470</v>
      </c>
      <c r="I374" s="64">
        <f>$H374/$H$485</f>
        <v>0.006102233496253717</v>
      </c>
      <c r="L374" s="4"/>
      <c r="M374" s="4"/>
    </row>
    <row r="375" spans="2:9" ht="12.75">
      <c r="B375" t="s">
        <v>400</v>
      </c>
      <c r="H375" s="34">
        <v>88000</v>
      </c>
      <c r="I375" s="64">
        <f>$H375/$H$485</f>
        <v>0.0015634452722809186</v>
      </c>
    </row>
    <row r="376" spans="2:8" ht="12.75">
      <c r="B376" t="s">
        <v>238</v>
      </c>
      <c r="H376" s="34"/>
    </row>
    <row r="377" spans="2:9" ht="12.75">
      <c r="B377" t="s">
        <v>42</v>
      </c>
      <c r="H377" s="34">
        <v>22300</v>
      </c>
      <c r="I377" s="64">
        <f>$H377/$H$485</f>
        <v>0.0003961912451348237</v>
      </c>
    </row>
    <row r="378" ht="12.75">
      <c r="H378" s="34"/>
    </row>
    <row r="379" spans="1:10" s="17" customFormat="1" ht="12.75">
      <c r="A379" s="17" t="s">
        <v>86</v>
      </c>
      <c r="B379" s="17" t="s">
        <v>87</v>
      </c>
      <c r="D379" s="18"/>
      <c r="E379" s="18"/>
      <c r="H379" s="35">
        <f>SUM(H380:H386)</f>
        <v>306440</v>
      </c>
      <c r="I379" s="68">
        <f>$H379/$H$485</f>
        <v>0.005444342832247326</v>
      </c>
      <c r="J379" s="29"/>
    </row>
    <row r="380" spans="2:9" s="16" customFormat="1" ht="12.75">
      <c r="B380" s="16" t="s">
        <v>105</v>
      </c>
      <c r="D380" s="21"/>
      <c r="E380" s="21"/>
      <c r="H380" s="32">
        <v>196400</v>
      </c>
      <c r="I380" s="64">
        <f>$H380/$H$485</f>
        <v>0.003489325584954232</v>
      </c>
    </row>
    <row r="381" spans="2:9" s="16" customFormat="1" ht="12.75">
      <c r="B381" s="16" t="s">
        <v>158</v>
      </c>
      <c r="D381" s="21"/>
      <c r="E381" s="21"/>
      <c r="H381" s="32">
        <v>13000</v>
      </c>
      <c r="I381" s="64">
        <f>$H381/$H$485</f>
        <v>0.0002309635061324084</v>
      </c>
    </row>
    <row r="382" spans="2:9" s="16" customFormat="1" ht="12.75">
      <c r="B382" s="16" t="s">
        <v>401</v>
      </c>
      <c r="D382" s="21"/>
      <c r="E382" s="21"/>
      <c r="H382" s="32">
        <v>23440</v>
      </c>
      <c r="I382" s="64">
        <f>$H382/$H$485</f>
        <v>0.000416444967980281</v>
      </c>
    </row>
    <row r="383" spans="2:9" ht="12.75">
      <c r="B383" t="s">
        <v>196</v>
      </c>
      <c r="H383" s="34">
        <v>600</v>
      </c>
      <c r="I383" s="64">
        <f>$H383/$H$485</f>
        <v>1.0659854129188081E-05</v>
      </c>
    </row>
    <row r="384" spans="2:8" ht="12.75">
      <c r="B384" s="6" t="s">
        <v>197</v>
      </c>
      <c r="H384" s="34"/>
    </row>
    <row r="385" spans="2:9" ht="12.75">
      <c r="B385" s="6" t="s">
        <v>151</v>
      </c>
      <c r="H385" s="34">
        <v>1700</v>
      </c>
      <c r="I385" s="64">
        <f>$H385/$H$485</f>
        <v>3.0202920032699564E-05</v>
      </c>
    </row>
    <row r="386" spans="2:9" ht="12.75">
      <c r="B386" t="s">
        <v>402</v>
      </c>
      <c r="H386" s="34">
        <f>101300-30000</f>
        <v>71300</v>
      </c>
      <c r="I386" s="64">
        <f>$H386/$H$485</f>
        <v>0.001266745999018517</v>
      </c>
    </row>
    <row r="387" ht="12.75">
      <c r="H387" s="34"/>
    </row>
    <row r="388" ht="12.75">
      <c r="H388" s="34"/>
    </row>
    <row r="389" ht="12.75">
      <c r="H389" s="34"/>
    </row>
    <row r="390" spans="1:10" s="17" customFormat="1" ht="12.75">
      <c r="A390" s="17" t="s">
        <v>88</v>
      </c>
      <c r="B390" s="17" t="s">
        <v>106</v>
      </c>
      <c r="D390" s="18"/>
      <c r="E390" s="18"/>
      <c r="H390" s="35">
        <f>SUM(H391:H406)</f>
        <v>4239720</v>
      </c>
      <c r="I390" s="68">
        <f aca="true" t="shared" si="5" ref="I390:I396">$H390/$H$485</f>
        <v>0.07532466124766882</v>
      </c>
      <c r="J390" s="29"/>
    </row>
    <row r="391" spans="2:9" ht="12.75">
      <c r="B391" t="s">
        <v>60</v>
      </c>
      <c r="H391" s="34">
        <v>1610000</v>
      </c>
      <c r="I391" s="64">
        <f t="shared" si="5"/>
        <v>0.02860394191332135</v>
      </c>
    </row>
    <row r="392" spans="2:9" ht="12.75">
      <c r="B392" t="s">
        <v>61</v>
      </c>
      <c r="H392" s="34">
        <v>1327000</v>
      </c>
      <c r="I392" s="64">
        <f t="shared" si="5"/>
        <v>0.023576044049054307</v>
      </c>
    </row>
    <row r="393" spans="2:9" ht="12.75">
      <c r="B393" t="s">
        <v>159</v>
      </c>
      <c r="H393" s="34">
        <f>58200+420000+55000</f>
        <v>533200</v>
      </c>
      <c r="I393" s="64">
        <f t="shared" si="5"/>
        <v>0.009473057036138474</v>
      </c>
    </row>
    <row r="394" spans="2:9" ht="12.75">
      <c r="B394" t="s">
        <v>160</v>
      </c>
      <c r="H394" s="34">
        <v>120000</v>
      </c>
      <c r="I394" s="64">
        <f t="shared" si="5"/>
        <v>0.002131970825837616</v>
      </c>
    </row>
    <row r="395" spans="2:9" ht="12.75">
      <c r="B395" t="s">
        <v>32</v>
      </c>
      <c r="H395" s="34">
        <f>10000+5000</f>
        <v>15000</v>
      </c>
      <c r="I395" s="64">
        <f t="shared" si="5"/>
        <v>0.000266496353229702</v>
      </c>
    </row>
    <row r="396" spans="2:9" ht="12.75">
      <c r="B396" t="s">
        <v>33</v>
      </c>
      <c r="H396" s="34">
        <v>30000</v>
      </c>
      <c r="I396" s="64">
        <f t="shared" si="5"/>
        <v>0.000532992706459404</v>
      </c>
    </row>
    <row r="397" spans="2:8" ht="12.75">
      <c r="B397" t="s">
        <v>34</v>
      </c>
      <c r="H397" s="34"/>
    </row>
    <row r="398" spans="2:9" ht="12.75">
      <c r="B398" t="s">
        <v>173</v>
      </c>
      <c r="H398" s="34">
        <v>30000</v>
      </c>
      <c r="I398" s="64">
        <f>$H398/$H$485</f>
        <v>0.000532992706459404</v>
      </c>
    </row>
    <row r="399" spans="2:9" ht="12.75">
      <c r="B399" t="s">
        <v>35</v>
      </c>
      <c r="H399" s="34">
        <v>15000</v>
      </c>
      <c r="I399" s="64">
        <f>$H399/$H$485</f>
        <v>0.000266496353229702</v>
      </c>
    </row>
    <row r="400" spans="2:8" ht="12.75">
      <c r="B400" t="s">
        <v>38</v>
      </c>
      <c r="H400" s="34"/>
    </row>
    <row r="401" spans="2:9" ht="12.75">
      <c r="B401" t="s">
        <v>286</v>
      </c>
      <c r="H401" s="34">
        <v>30000</v>
      </c>
      <c r="I401" s="64">
        <f>$H401/$H$485</f>
        <v>0.000532992706459404</v>
      </c>
    </row>
    <row r="402" spans="2:9" ht="12.75">
      <c r="B402" t="s">
        <v>39</v>
      </c>
      <c r="H402" s="34">
        <f>73200+4900</f>
        <v>78100</v>
      </c>
      <c r="I402" s="64">
        <f>$H402/$H$485</f>
        <v>0.0013875576791493151</v>
      </c>
    </row>
    <row r="403" spans="2:9" ht="12.75">
      <c r="B403" t="s">
        <v>40</v>
      </c>
      <c r="H403" s="34">
        <v>150000</v>
      </c>
      <c r="I403" s="64">
        <f>$H403/$H$485</f>
        <v>0.00266496353229702</v>
      </c>
    </row>
    <row r="404" spans="2:9" ht="12.75">
      <c r="B404" t="s">
        <v>41</v>
      </c>
      <c r="H404" s="34">
        <v>50000</v>
      </c>
      <c r="I404" s="64">
        <f>$H404/$H$485</f>
        <v>0.0008883211774323401</v>
      </c>
    </row>
    <row r="405" spans="2:8" ht="12.75">
      <c r="B405" t="s">
        <v>403</v>
      </c>
      <c r="H405" s="34"/>
    </row>
    <row r="406" spans="2:9" ht="12.75">
      <c r="B406" t="s">
        <v>404</v>
      </c>
      <c r="H406" s="34">
        <v>251420</v>
      </c>
      <c r="I406" s="64">
        <f>$H406/$H$485</f>
        <v>0.004466834208600779</v>
      </c>
    </row>
    <row r="407" ht="12.75">
      <c r="H407" s="34"/>
    </row>
    <row r="408" spans="1:10" s="3" customFormat="1" ht="12.75">
      <c r="A408" s="3" t="s">
        <v>110</v>
      </c>
      <c r="B408" s="3" t="s">
        <v>107</v>
      </c>
      <c r="D408" s="8"/>
      <c r="E408" s="8"/>
      <c r="H408" s="33">
        <f>SUM(H409:H410)</f>
        <v>2145958.66</v>
      </c>
      <c r="I408" s="68">
        <f>$H408/$H$485</f>
        <v>0.038126010471446536</v>
      </c>
      <c r="J408" s="28"/>
    </row>
    <row r="409" spans="2:9" s="3" customFormat="1" ht="12.75">
      <c r="B409" t="s">
        <v>108</v>
      </c>
      <c r="D409" s="8"/>
      <c r="E409" s="8"/>
      <c r="H409" s="32">
        <v>1718800</v>
      </c>
      <c r="I409" s="64">
        <f>$H409/$H$485</f>
        <v>0.03053692879541412</v>
      </c>
    </row>
    <row r="410" spans="2:9" ht="12.75">
      <c r="B410" t="s">
        <v>239</v>
      </c>
      <c r="H410" s="32">
        <v>427158.66</v>
      </c>
      <c r="I410" s="64">
        <f>$H410/$H$485</f>
        <v>0.0075890816760324125</v>
      </c>
    </row>
    <row r="411" ht="12.75">
      <c r="H411" s="34"/>
    </row>
    <row r="412" spans="1:9" s="3" customFormat="1" ht="12.75">
      <c r="A412" s="3" t="s">
        <v>109</v>
      </c>
      <c r="B412" s="3" t="s">
        <v>63</v>
      </c>
      <c r="D412" s="8"/>
      <c r="E412" s="8"/>
      <c r="H412" s="33">
        <f>SUM(H413:H417)</f>
        <v>440900</v>
      </c>
      <c r="I412" s="68">
        <f>$H412/$H$485</f>
        <v>0.007833216142598375</v>
      </c>
    </row>
    <row r="413" spans="1:9" s="40" customFormat="1" ht="12.75">
      <c r="A413" s="6"/>
      <c r="B413" s="6" t="s">
        <v>220</v>
      </c>
      <c r="C413" s="6"/>
      <c r="D413" s="9"/>
      <c r="E413" s="9"/>
      <c r="F413" s="6"/>
      <c r="G413" s="6"/>
      <c r="H413" s="36">
        <f>15000+25000+3000</f>
        <v>43000</v>
      </c>
      <c r="I413" s="64">
        <f>$H413/$H$485</f>
        <v>0.0007639562125918125</v>
      </c>
    </row>
    <row r="414" spans="2:9" s="40" customFormat="1" ht="12.75">
      <c r="B414" s="40" t="s">
        <v>295</v>
      </c>
      <c r="D414" s="45"/>
      <c r="E414" s="45"/>
      <c r="H414" s="46">
        <f>76900+2000+1000</f>
        <v>79900</v>
      </c>
      <c r="I414" s="64">
        <f>$H414/$H$485</f>
        <v>0.0014195372415368795</v>
      </c>
    </row>
    <row r="415" spans="2:9" s="40" customFormat="1" ht="12.75">
      <c r="B415" s="40" t="s">
        <v>405</v>
      </c>
      <c r="D415" s="45"/>
      <c r="E415" s="45"/>
      <c r="H415" s="46">
        <v>15000</v>
      </c>
      <c r="I415" s="64"/>
    </row>
    <row r="416" spans="2:9" ht="12.75">
      <c r="B416" t="s">
        <v>36</v>
      </c>
      <c r="H416" s="34">
        <v>183000</v>
      </c>
      <c r="I416" s="64">
        <f>$H416/$H$485</f>
        <v>0.0032512555094023647</v>
      </c>
    </row>
    <row r="417" spans="2:9" ht="12.75">
      <c r="B417" t="s">
        <v>296</v>
      </c>
      <c r="H417" s="34">
        <v>120000</v>
      </c>
      <c r="I417" s="64">
        <f>$H417/$H$485</f>
        <v>0.002131970825837616</v>
      </c>
    </row>
    <row r="418" ht="12.75">
      <c r="H418" s="34"/>
    </row>
    <row r="419" ht="12.75">
      <c r="H419" s="34"/>
    </row>
    <row r="420" ht="12.75">
      <c r="H420" s="34"/>
    </row>
    <row r="421" spans="1:10" s="10" customFormat="1" ht="15">
      <c r="A421" s="5" t="s">
        <v>66</v>
      </c>
      <c r="B421" s="5"/>
      <c r="C421" s="5"/>
      <c r="D421" s="12"/>
      <c r="E421" s="12"/>
      <c r="F421" s="5"/>
      <c r="G421" s="5"/>
      <c r="H421" s="37">
        <f>+H423+H427+H435+H442+H445+H456+H460+H465+H478</f>
        <v>26541688.18</v>
      </c>
      <c r="I421" s="68">
        <f>$H421/$H$485</f>
        <v>0.47155087390199246</v>
      </c>
      <c r="J421" s="47"/>
    </row>
    <row r="422" spans="1:8" ht="12.75">
      <c r="A422" s="3" t="s">
        <v>54</v>
      </c>
      <c r="H422" s="34"/>
    </row>
    <row r="423" spans="1:9" ht="12.75">
      <c r="A423" s="17" t="s">
        <v>174</v>
      </c>
      <c r="B423" s="3" t="s">
        <v>175</v>
      </c>
      <c r="H423" s="33">
        <f>SUM(H425:H425)</f>
        <v>769820</v>
      </c>
      <c r="I423" s="68">
        <f>$H423/$H$485</f>
        <v>0.01367694817621928</v>
      </c>
    </row>
    <row r="424" spans="1:9" ht="12.75">
      <c r="A424" s="3"/>
      <c r="B424" t="s">
        <v>256</v>
      </c>
      <c r="H424" s="34"/>
      <c r="I424" s="68"/>
    </row>
    <row r="425" spans="1:9" ht="12.75">
      <c r="A425" s="3"/>
      <c r="B425" t="s">
        <v>221</v>
      </c>
      <c r="H425" s="34">
        <v>769820</v>
      </c>
      <c r="I425" s="64">
        <f>$H425/$H$485</f>
        <v>0.01367694817621928</v>
      </c>
    </row>
    <row r="426" spans="1:8" ht="12.75">
      <c r="A426" s="3"/>
      <c r="H426" s="34"/>
    </row>
    <row r="427" spans="1:9" s="17" customFormat="1" ht="12.75">
      <c r="A427" s="17" t="s">
        <v>89</v>
      </c>
      <c r="B427" s="17" t="s">
        <v>154</v>
      </c>
      <c r="D427" s="18"/>
      <c r="E427" s="18"/>
      <c r="H427" s="35">
        <f>SUM(H429:H433)</f>
        <v>21847848.990000002</v>
      </c>
      <c r="I427" s="68">
        <f>$H427/$H$485</f>
        <v>0.38815813878321526</v>
      </c>
    </row>
    <row r="428" spans="1:9" s="40" customFormat="1" ht="12.75">
      <c r="A428" s="6"/>
      <c r="B428" s="6" t="s">
        <v>406</v>
      </c>
      <c r="C428" s="6"/>
      <c r="D428" s="9"/>
      <c r="E428" s="9"/>
      <c r="F428" s="6"/>
      <c r="G428" s="6"/>
      <c r="H428" s="36"/>
      <c r="I428" s="62"/>
    </row>
    <row r="429" spans="2:9" s="17" customFormat="1" ht="12.75">
      <c r="B429" s="6" t="s">
        <v>407</v>
      </c>
      <c r="D429" s="18"/>
      <c r="E429" s="18"/>
      <c r="H429" s="32">
        <f>6878488.65+10317732.98</f>
        <v>17196221.630000003</v>
      </c>
      <c r="I429" s="64">
        <f>$H429/$H$485</f>
        <v>0.30551535691498155</v>
      </c>
    </row>
    <row r="430" spans="1:9" s="40" customFormat="1" ht="12.75">
      <c r="A430" s="6"/>
      <c r="B430" s="6" t="s">
        <v>408</v>
      </c>
      <c r="C430" s="6"/>
      <c r="D430" s="9"/>
      <c r="E430" s="9"/>
      <c r="F430" s="6"/>
      <c r="G430" s="6"/>
      <c r="H430" s="36">
        <v>3100000</v>
      </c>
      <c r="I430" s="64">
        <f>$H430/$H$485</f>
        <v>0.05507591300080508</v>
      </c>
    </row>
    <row r="431" spans="2:8" ht="12.75">
      <c r="B431" t="s">
        <v>409</v>
      </c>
      <c r="H431" s="34"/>
    </row>
    <row r="432" spans="2:9" ht="12.75">
      <c r="B432" t="s">
        <v>410</v>
      </c>
      <c r="H432" s="34">
        <v>1627.36</v>
      </c>
      <c r="I432" s="64">
        <f>$H432/$H$485</f>
        <v>2.8912367026125858E-05</v>
      </c>
    </row>
    <row r="433" spans="2:9" ht="12.75">
      <c r="B433" t="s">
        <v>411</v>
      </c>
      <c r="H433" s="34">
        <v>1550000</v>
      </c>
      <c r="I433" s="64">
        <f>$H433/$H$485</f>
        <v>0.02753795650040254</v>
      </c>
    </row>
    <row r="434" ht="12.75">
      <c r="H434" s="34"/>
    </row>
    <row r="435" spans="1:9" s="17" customFormat="1" ht="12.75">
      <c r="A435" s="17" t="s">
        <v>71</v>
      </c>
      <c r="B435" s="17" t="s">
        <v>161</v>
      </c>
      <c r="D435" s="18"/>
      <c r="E435" s="18"/>
      <c r="H435" s="35">
        <f>SUM(H436:H440)</f>
        <v>207252.9</v>
      </c>
      <c r="I435" s="68">
        <f>$H435/$H$485</f>
        <v>0.0036821428030853406</v>
      </c>
    </row>
    <row r="436" spans="2:9" ht="12.75">
      <c r="B436" t="s">
        <v>257</v>
      </c>
      <c r="H436" s="34">
        <v>200000</v>
      </c>
      <c r="I436" s="64">
        <f>$H436/$H$485</f>
        <v>0.0035532847097293602</v>
      </c>
    </row>
    <row r="437" spans="2:8" ht="12.75">
      <c r="B437" t="s">
        <v>258</v>
      </c>
      <c r="H437" s="34"/>
    </row>
    <row r="438" spans="2:8" ht="12.75">
      <c r="B438" t="s">
        <v>222</v>
      </c>
      <c r="H438" s="34"/>
    </row>
    <row r="439" spans="2:8" ht="12.75">
      <c r="B439" t="s">
        <v>223</v>
      </c>
      <c r="H439" s="34"/>
    </row>
    <row r="440" spans="2:9" ht="12.75">
      <c r="B440" t="s">
        <v>224</v>
      </c>
      <c r="H440" s="34">
        <v>7252.9</v>
      </c>
      <c r="I440" s="64">
        <f>$H440/$H$485</f>
        <v>0.00012885809335598037</v>
      </c>
    </row>
    <row r="441" ht="12.75">
      <c r="H441" s="34"/>
    </row>
    <row r="442" spans="1:9" s="3" customFormat="1" ht="12.75">
      <c r="A442" s="3" t="s">
        <v>93</v>
      </c>
      <c r="B442" s="3" t="s">
        <v>94</v>
      </c>
      <c r="D442" s="8"/>
      <c r="E442" s="8"/>
      <c r="H442" s="33">
        <f>SUM(H443:H443)</f>
        <v>1627.36</v>
      </c>
      <c r="I442" s="68">
        <f>$H442/$H$485</f>
        <v>2.8912367026125858E-05</v>
      </c>
    </row>
    <row r="443" spans="1:9" s="40" customFormat="1" ht="12.75">
      <c r="A443" s="6"/>
      <c r="B443" s="6" t="s">
        <v>168</v>
      </c>
      <c r="C443" s="6"/>
      <c r="D443" s="9"/>
      <c r="E443" s="9"/>
      <c r="F443" s="6"/>
      <c r="G443" s="6"/>
      <c r="H443" s="36">
        <v>1627.36</v>
      </c>
      <c r="I443" s="64">
        <f>$H443/$H$485</f>
        <v>2.8912367026125858E-05</v>
      </c>
    </row>
    <row r="444" ht="12.75">
      <c r="H444" s="34"/>
    </row>
    <row r="445" spans="1:9" s="17" customFormat="1" ht="12.75">
      <c r="A445" s="17" t="s">
        <v>75</v>
      </c>
      <c r="B445" s="17" t="s">
        <v>76</v>
      </c>
      <c r="D445" s="18"/>
      <c r="E445" s="18"/>
      <c r="H445" s="35">
        <f>SUM(H448:H453)</f>
        <v>264591</v>
      </c>
      <c r="I445" s="68">
        <f>$H445/$H$485</f>
        <v>0.004700835773160006</v>
      </c>
    </row>
    <row r="446" spans="2:9" s="16" customFormat="1" ht="12.75">
      <c r="B446" s="16" t="s">
        <v>412</v>
      </c>
      <c r="D446" s="21"/>
      <c r="E446" s="21"/>
      <c r="H446" s="32"/>
      <c r="I446" s="62"/>
    </row>
    <row r="447" spans="2:9" s="16" customFormat="1" ht="12.75">
      <c r="B447" s="16" t="s">
        <v>413</v>
      </c>
      <c r="D447" s="21"/>
      <c r="E447" s="21"/>
      <c r="H447" s="32"/>
      <c r="I447" s="62"/>
    </row>
    <row r="448" spans="2:9" ht="12.75">
      <c r="B448" t="s">
        <v>414</v>
      </c>
      <c r="H448" s="34">
        <v>201965</v>
      </c>
      <c r="I448" s="64">
        <f aca="true" t="shared" si="6" ref="I448:I453">$H448/$H$485</f>
        <v>0.0035881957320024515</v>
      </c>
    </row>
    <row r="449" spans="2:9" ht="12.75">
      <c r="B449" t="s">
        <v>415</v>
      </c>
      <c r="H449" s="34">
        <v>10000</v>
      </c>
      <c r="I449" s="64">
        <f t="shared" si="6"/>
        <v>0.000177664235486468</v>
      </c>
    </row>
    <row r="450" spans="2:10" ht="12.75">
      <c r="B450" t="s">
        <v>419</v>
      </c>
      <c r="H450" s="34">
        <v>7686</v>
      </c>
      <c r="I450" s="64">
        <f t="shared" si="6"/>
        <v>0.0001365527313948993</v>
      </c>
      <c r="J450" s="30"/>
    </row>
    <row r="451" spans="2:10" ht="12.75">
      <c r="B451" t="s">
        <v>416</v>
      </c>
      <c r="H451" s="34">
        <v>5050</v>
      </c>
      <c r="I451" s="64">
        <f t="shared" si="6"/>
        <v>8.972043892066635E-05</v>
      </c>
      <c r="J451" s="30"/>
    </row>
    <row r="452" spans="2:10" ht="12.75">
      <c r="B452" t="s">
        <v>417</v>
      </c>
      <c r="H452" s="34">
        <v>10000</v>
      </c>
      <c r="I452" s="64">
        <f t="shared" si="6"/>
        <v>0.000177664235486468</v>
      </c>
      <c r="J452" s="30"/>
    </row>
    <row r="453" spans="2:9" ht="12.75">
      <c r="B453" t="s">
        <v>418</v>
      </c>
      <c r="H453" s="34">
        <v>29890</v>
      </c>
      <c r="I453" s="64">
        <f t="shared" si="6"/>
        <v>0.0005310383998690529</v>
      </c>
    </row>
    <row r="454" ht="12.75">
      <c r="H454" s="34"/>
    </row>
    <row r="455" ht="12.75">
      <c r="H455" s="34"/>
    </row>
    <row r="456" spans="1:9" s="17" customFormat="1" ht="12.75">
      <c r="A456" s="17" t="s">
        <v>85</v>
      </c>
      <c r="B456" s="17" t="s">
        <v>45</v>
      </c>
      <c r="D456" s="18"/>
      <c r="E456" s="18"/>
      <c r="H456" s="35">
        <f>H458</f>
        <v>2700000</v>
      </c>
      <c r="I456" s="68">
        <f>$H456/$H$485</f>
        <v>0.047969343581346365</v>
      </c>
    </row>
    <row r="457" spans="1:9" s="40" customFormat="1" ht="12.75">
      <c r="A457" s="6"/>
      <c r="B457" s="6" t="s">
        <v>240</v>
      </c>
      <c r="C457" s="6"/>
      <c r="D457" s="9"/>
      <c r="E457" s="9"/>
      <c r="F457" s="6"/>
      <c r="G457" s="6"/>
      <c r="H457" s="36"/>
      <c r="I457" s="62"/>
    </row>
    <row r="458" spans="1:9" s="40" customFormat="1" ht="12.75">
      <c r="A458" s="6"/>
      <c r="B458" s="6" t="s">
        <v>420</v>
      </c>
      <c r="C458" s="6"/>
      <c r="D458" s="9"/>
      <c r="E458" s="9"/>
      <c r="F458" s="6"/>
      <c r="G458" s="6"/>
      <c r="H458" s="36">
        <v>2700000</v>
      </c>
      <c r="I458" s="64">
        <f>$H458/$H$485</f>
        <v>0.047969343581346365</v>
      </c>
    </row>
    <row r="459" spans="1:9" s="40" customFormat="1" ht="12.75">
      <c r="A459" s="6"/>
      <c r="B459" s="6"/>
      <c r="C459" s="6"/>
      <c r="D459" s="9"/>
      <c r="E459" s="9"/>
      <c r="F459" s="6"/>
      <c r="G459" s="6"/>
      <c r="H459" s="36"/>
      <c r="I459" s="64"/>
    </row>
    <row r="460" spans="1:9" ht="12.75">
      <c r="A460" s="17" t="s">
        <v>86</v>
      </c>
      <c r="B460" s="17" t="s">
        <v>87</v>
      </c>
      <c r="H460" s="35">
        <f>H463</f>
        <v>30000</v>
      </c>
      <c r="I460" s="68">
        <f>$H460/$H$485</f>
        <v>0.000532992706459404</v>
      </c>
    </row>
    <row r="461" spans="2:8" ht="12.75">
      <c r="B461" t="s">
        <v>423</v>
      </c>
      <c r="H461" s="34"/>
    </row>
    <row r="462" spans="2:9" ht="12.75">
      <c r="B462" t="s">
        <v>421</v>
      </c>
      <c r="H462" s="34"/>
      <c r="I462" s="64"/>
    </row>
    <row r="463" spans="2:9" ht="12.75">
      <c r="B463" t="s">
        <v>422</v>
      </c>
      <c r="H463" s="34">
        <v>30000</v>
      </c>
      <c r="I463" s="64">
        <f>$H463/$H$485</f>
        <v>0.000532992706459404</v>
      </c>
    </row>
    <row r="464" ht="12.75">
      <c r="H464" s="34"/>
    </row>
    <row r="465" spans="1:9" s="17" customFormat="1" ht="12.75">
      <c r="A465" s="17" t="s">
        <v>88</v>
      </c>
      <c r="B465" s="17" t="s">
        <v>128</v>
      </c>
      <c r="D465" s="18"/>
      <c r="E465" s="18"/>
      <c r="H465" s="35">
        <f>SUM(H469:H476)</f>
        <v>620547.9299999999</v>
      </c>
      <c r="I465" s="68">
        <f>$H465/$H$485</f>
        <v>0.011024917356616025</v>
      </c>
    </row>
    <row r="466" spans="2:8" ht="12.75">
      <c r="B466" s="16" t="s">
        <v>424</v>
      </c>
      <c r="H466" s="34"/>
    </row>
    <row r="467" spans="2:8" ht="12.75">
      <c r="B467" s="16" t="s">
        <v>176</v>
      </c>
      <c r="H467" s="34"/>
    </row>
    <row r="468" spans="2:8" ht="12.75">
      <c r="B468" s="16" t="s">
        <v>177</v>
      </c>
      <c r="H468" s="34"/>
    </row>
    <row r="469" spans="2:9" ht="12.75">
      <c r="B469" s="16" t="s">
        <v>178</v>
      </c>
      <c r="H469" s="34">
        <v>399000</v>
      </c>
      <c r="I469" s="64">
        <f>$H469/$H$485</f>
        <v>0.007088802995910074</v>
      </c>
    </row>
    <row r="470" spans="2:8" ht="12.75">
      <c r="B470" s="16" t="s">
        <v>425</v>
      </c>
      <c r="H470" s="34"/>
    </row>
    <row r="471" spans="2:9" ht="12.75">
      <c r="B471" s="16" t="s">
        <v>261</v>
      </c>
      <c r="H471" s="34">
        <v>35000</v>
      </c>
      <c r="I471" s="64">
        <f>$H471/$H$485</f>
        <v>0.0006218248242026381</v>
      </c>
    </row>
    <row r="472" spans="2:9" ht="12.75">
      <c r="B472" s="16" t="s">
        <v>259</v>
      </c>
      <c r="H472" s="34"/>
      <c r="I472" s="64"/>
    </row>
    <row r="473" spans="2:9" ht="12.75">
      <c r="B473" s="16" t="s">
        <v>260</v>
      </c>
      <c r="H473" s="34">
        <v>3254.72</v>
      </c>
      <c r="I473" s="64">
        <f>$H473/$H$485</f>
        <v>5.7824734052251716E-05</v>
      </c>
    </row>
    <row r="474" spans="2:8" ht="12.75">
      <c r="B474" s="16" t="s">
        <v>426</v>
      </c>
      <c r="H474" s="34"/>
    </row>
    <row r="475" spans="2:9" ht="12.75">
      <c r="B475" s="16" t="s">
        <v>427</v>
      </c>
      <c r="H475" s="34">
        <v>182950.59</v>
      </c>
      <c r="I475" s="64">
        <f>$H475/$H$485</f>
        <v>0.003250377670414826</v>
      </c>
    </row>
    <row r="476" spans="2:9" ht="12.75">
      <c r="B476" s="16" t="s">
        <v>428</v>
      </c>
      <c r="H476" s="34">
        <v>342.62</v>
      </c>
      <c r="I476" s="64">
        <f>$H476/$H$485</f>
        <v>6.087132036237367E-06</v>
      </c>
    </row>
    <row r="477" spans="2:8" ht="12.75">
      <c r="B477" s="16"/>
      <c r="H477" s="34"/>
    </row>
    <row r="478" spans="1:9" s="3" customFormat="1" ht="12.75">
      <c r="A478" s="3" t="s">
        <v>169</v>
      </c>
      <c r="B478" s="3" t="s">
        <v>170</v>
      </c>
      <c r="D478" s="8"/>
      <c r="E478" s="8"/>
      <c r="H478" s="33">
        <f>SUM(H480:H482)</f>
        <v>100000</v>
      </c>
      <c r="I478" s="68">
        <f>$H478/$H$485</f>
        <v>0.0017766423548646801</v>
      </c>
    </row>
    <row r="479" spans="2:8" ht="12.75">
      <c r="B479" t="s">
        <v>429</v>
      </c>
      <c r="H479" s="34"/>
    </row>
    <row r="480" spans="2:9" ht="12.75">
      <c r="B480" t="s">
        <v>430</v>
      </c>
      <c r="H480" s="34">
        <v>50000</v>
      </c>
      <c r="I480" s="64">
        <f>$H480/$H$485</f>
        <v>0.0008883211774323401</v>
      </c>
    </row>
    <row r="481" spans="2:9" ht="12.75">
      <c r="B481" t="s">
        <v>262</v>
      </c>
      <c r="H481" s="34"/>
      <c r="I481" s="64"/>
    </row>
    <row r="482" spans="2:9" ht="12.75">
      <c r="B482" t="s">
        <v>431</v>
      </c>
      <c r="H482" s="34">
        <v>50000</v>
      </c>
      <c r="I482" s="64">
        <f>$H482/$H$485</f>
        <v>0.0008883211774323401</v>
      </c>
    </row>
    <row r="483" ht="12.75">
      <c r="H483" s="34"/>
    </row>
    <row r="484" ht="12.75">
      <c r="H484" s="34"/>
    </row>
    <row r="485" spans="2:10" s="1" customFormat="1" ht="15">
      <c r="B485" s="1" t="s">
        <v>67</v>
      </c>
      <c r="D485" s="11"/>
      <c r="E485" s="11"/>
      <c r="H485" s="33">
        <f>H421+H245</f>
        <v>56285948.45</v>
      </c>
      <c r="I485" s="68">
        <f>$H485/$H$485</f>
        <v>1</v>
      </c>
      <c r="J485" s="43"/>
    </row>
    <row r="486" spans="4:10" s="1" customFormat="1" ht="15">
      <c r="D486" s="11"/>
      <c r="E486" s="11"/>
      <c r="H486" s="33"/>
      <c r="I486" s="68"/>
      <c r="J486" s="43"/>
    </row>
    <row r="487" spans="4:10" s="1" customFormat="1" ht="15">
      <c r="D487" s="11"/>
      <c r="E487" s="11"/>
      <c r="H487" s="33"/>
      <c r="I487" s="62"/>
      <c r="J487" s="43"/>
    </row>
    <row r="488" spans="1:9" s="23" customFormat="1" ht="15">
      <c r="A488" s="22" t="s">
        <v>460</v>
      </c>
      <c r="D488" s="24"/>
      <c r="E488" s="24"/>
      <c r="H488" s="38"/>
      <c r="I488" s="62"/>
    </row>
    <row r="489" spans="6:8" ht="12.75">
      <c r="F489" s="4"/>
      <c r="G489" s="4"/>
      <c r="H489" s="53" t="s">
        <v>205</v>
      </c>
    </row>
    <row r="490" spans="1:9" s="17" customFormat="1" ht="12.75">
      <c r="A490" s="17" t="s">
        <v>88</v>
      </c>
      <c r="B490" s="17" t="s">
        <v>114</v>
      </c>
      <c r="D490" s="18"/>
      <c r="E490" s="18"/>
      <c r="H490" s="29"/>
      <c r="I490" s="62"/>
    </row>
    <row r="491" spans="4:9" s="17" customFormat="1" ht="12.75">
      <c r="D491" s="18"/>
      <c r="E491" s="18"/>
      <c r="H491" s="29"/>
      <c r="I491" s="62"/>
    </row>
    <row r="492" spans="2:9" s="17" customFormat="1" ht="12.75">
      <c r="B492" s="17" t="s">
        <v>263</v>
      </c>
      <c r="D492" s="18"/>
      <c r="E492" s="18"/>
      <c r="H492" s="29">
        <v>230000</v>
      </c>
      <c r="I492" s="62"/>
    </row>
    <row r="493" spans="2:9" s="50" customFormat="1" ht="12.75">
      <c r="B493" s="50" t="s">
        <v>225</v>
      </c>
      <c r="D493" s="51"/>
      <c r="E493" s="51"/>
      <c r="H493" s="52">
        <f>SUM(H496:H498)</f>
        <v>47000</v>
      </c>
      <c r="I493" s="65"/>
    </row>
    <row r="494" spans="2:9" s="25" customFormat="1" ht="12.75">
      <c r="B494" s="16" t="s">
        <v>54</v>
      </c>
      <c r="D494" s="70"/>
      <c r="E494" s="70"/>
      <c r="H494" s="71"/>
      <c r="I494" s="65"/>
    </row>
    <row r="495" spans="2:9" s="16" customFormat="1" ht="12.75">
      <c r="B495" s="16" t="s">
        <v>432</v>
      </c>
      <c r="D495" s="21"/>
      <c r="E495" s="21"/>
      <c r="H495" s="69"/>
      <c r="I495" s="62"/>
    </row>
    <row r="496" spans="2:9" s="16" customFormat="1" ht="12.75">
      <c r="B496" s="16" t="s">
        <v>281</v>
      </c>
      <c r="D496" s="21"/>
      <c r="E496" s="21"/>
      <c r="H496" s="69"/>
      <c r="I496" s="62"/>
    </row>
    <row r="497" spans="2:9" s="16" customFormat="1" ht="12.75">
      <c r="B497" s="16" t="s">
        <v>433</v>
      </c>
      <c r="D497" s="21"/>
      <c r="E497" s="21"/>
      <c r="H497" s="69">
        <v>45000</v>
      </c>
      <c r="I497" s="62"/>
    </row>
    <row r="498" spans="2:9" s="16" customFormat="1" ht="12.75">
      <c r="B498" s="16" t="s">
        <v>241</v>
      </c>
      <c r="D498" s="21"/>
      <c r="E498" s="21"/>
      <c r="H498" s="69">
        <v>2000</v>
      </c>
      <c r="I498" s="62"/>
    </row>
    <row r="499" spans="4:9" s="16" customFormat="1" ht="12.75">
      <c r="D499" s="21"/>
      <c r="E499" s="21"/>
      <c r="H499" s="69"/>
      <c r="I499" s="62"/>
    </row>
    <row r="500" spans="2:9" s="50" customFormat="1" ht="12.75">
      <c r="B500" s="50" t="s">
        <v>112</v>
      </c>
      <c r="D500" s="51"/>
      <c r="E500" s="51"/>
      <c r="H500" s="52">
        <f>SUM(H503:H524)</f>
        <v>250000</v>
      </c>
      <c r="I500" s="65"/>
    </row>
    <row r="501" spans="2:9" s="16" customFormat="1" ht="12.75">
      <c r="B501" s="16" t="s">
        <v>54</v>
      </c>
      <c r="D501" s="21"/>
      <c r="E501" s="21"/>
      <c r="H501" s="69"/>
      <c r="I501" s="62"/>
    </row>
    <row r="502" spans="2:9" s="16" customFormat="1" ht="12.75">
      <c r="B502" s="16" t="s">
        <v>242</v>
      </c>
      <c r="D502" s="21"/>
      <c r="E502" s="21"/>
      <c r="H502" s="69"/>
      <c r="I502" s="62"/>
    </row>
    <row r="503" spans="2:9" s="16" customFormat="1" ht="12.75">
      <c r="B503" s="16" t="s">
        <v>237</v>
      </c>
      <c r="D503" s="21"/>
      <c r="E503" s="21"/>
      <c r="H503" s="69">
        <v>2000</v>
      </c>
      <c r="I503" s="62"/>
    </row>
    <row r="504" spans="2:9" s="16" customFormat="1" ht="12.75">
      <c r="B504" s="16" t="s">
        <v>434</v>
      </c>
      <c r="D504" s="21"/>
      <c r="E504" s="21"/>
      <c r="H504" s="69"/>
      <c r="I504" s="62"/>
    </row>
    <row r="505" spans="2:9" s="16" customFormat="1" ht="12.75">
      <c r="B505" s="16" t="s">
        <v>435</v>
      </c>
      <c r="D505" s="21"/>
      <c r="E505" s="21"/>
      <c r="H505" s="69"/>
      <c r="I505" s="62"/>
    </row>
    <row r="506" spans="2:9" s="16" customFormat="1" ht="12.75">
      <c r="B506" s="16" t="s">
        <v>436</v>
      </c>
      <c r="D506" s="21"/>
      <c r="E506" s="21"/>
      <c r="F506" s="72"/>
      <c r="H506" s="69"/>
      <c r="I506" s="62"/>
    </row>
    <row r="507" spans="2:9" s="16" customFormat="1" ht="12.75">
      <c r="B507" s="16" t="s">
        <v>437</v>
      </c>
      <c r="D507" s="21"/>
      <c r="E507" s="21"/>
      <c r="F507" s="72"/>
      <c r="H507" s="69">
        <v>5000</v>
      </c>
      <c r="I507" s="62"/>
    </row>
    <row r="508" spans="2:9" s="16" customFormat="1" ht="12.75">
      <c r="B508" s="16" t="s">
        <v>439</v>
      </c>
      <c r="D508" s="21"/>
      <c r="E508" s="21"/>
      <c r="F508" s="72"/>
      <c r="H508" s="69"/>
      <c r="I508" s="62"/>
    </row>
    <row r="509" spans="2:9" s="16" customFormat="1" ht="12.75">
      <c r="B509" s="16" t="s">
        <v>461</v>
      </c>
      <c r="D509" s="21"/>
      <c r="E509" s="21"/>
      <c r="F509" s="72"/>
      <c r="H509" s="69">
        <v>60000</v>
      </c>
      <c r="I509" s="62"/>
    </row>
    <row r="510" spans="2:9" s="16" customFormat="1" ht="12.75">
      <c r="B510" s="16" t="s">
        <v>440</v>
      </c>
      <c r="D510" s="21"/>
      <c r="E510" s="21"/>
      <c r="F510" s="72"/>
      <c r="H510" s="69"/>
      <c r="I510" s="62"/>
    </row>
    <row r="511" spans="2:9" s="16" customFormat="1" ht="12.75">
      <c r="B511" s="16" t="s">
        <v>198</v>
      </c>
      <c r="D511" s="21"/>
      <c r="E511" s="21"/>
      <c r="F511" s="72"/>
      <c r="H511" s="69"/>
      <c r="I511" s="62"/>
    </row>
    <row r="512" spans="2:9" s="16" customFormat="1" ht="12.75">
      <c r="B512" s="16" t="s">
        <v>199</v>
      </c>
      <c r="D512" s="21"/>
      <c r="E512" s="21"/>
      <c r="F512" s="72"/>
      <c r="H512" s="69">
        <v>10000</v>
      </c>
      <c r="I512" s="62"/>
    </row>
    <row r="513" spans="2:9" s="16" customFormat="1" ht="12.75">
      <c r="B513" s="26" t="s">
        <v>462</v>
      </c>
      <c r="D513" s="21"/>
      <c r="E513" s="21"/>
      <c r="F513" s="72"/>
      <c r="H513" s="69">
        <v>30000</v>
      </c>
      <c r="I513" s="62"/>
    </row>
    <row r="514" spans="2:9" s="16" customFormat="1" ht="12.75">
      <c r="B514" s="26" t="s">
        <v>438</v>
      </c>
      <c r="D514" s="21"/>
      <c r="E514" s="21"/>
      <c r="F514" s="72"/>
      <c r="H514" s="69">
        <v>5000</v>
      </c>
      <c r="I514" s="62"/>
    </row>
    <row r="515" spans="2:9" s="16" customFormat="1" ht="12.75">
      <c r="B515" s="16" t="s">
        <v>441</v>
      </c>
      <c r="D515" s="21"/>
      <c r="E515" s="21"/>
      <c r="F515" s="72"/>
      <c r="H515" s="69">
        <v>15000</v>
      </c>
      <c r="I515" s="62"/>
    </row>
    <row r="516" spans="2:9" s="16" customFormat="1" ht="12.75">
      <c r="B516" s="16" t="s">
        <v>442</v>
      </c>
      <c r="D516" s="21"/>
      <c r="E516" s="21"/>
      <c r="F516" s="72"/>
      <c r="H516" s="69">
        <v>20000</v>
      </c>
      <c r="I516" s="62"/>
    </row>
    <row r="517" spans="2:9" s="16" customFormat="1" ht="12.75">
      <c r="B517" s="16" t="s">
        <v>443</v>
      </c>
      <c r="D517" s="21"/>
      <c r="E517" s="21"/>
      <c r="F517" s="73"/>
      <c r="H517" s="69">
        <v>10000</v>
      </c>
      <c r="I517" s="62"/>
    </row>
    <row r="518" spans="2:9" s="16" customFormat="1" ht="12.75">
      <c r="B518" s="16" t="s">
        <v>444</v>
      </c>
      <c r="D518" s="21"/>
      <c r="E518" s="21"/>
      <c r="F518" s="72"/>
      <c r="H518" s="69">
        <v>50000</v>
      </c>
      <c r="I518" s="62"/>
    </row>
    <row r="519" spans="2:9" s="16" customFormat="1" ht="12.75">
      <c r="B519" s="16" t="s">
        <v>445</v>
      </c>
      <c r="D519" s="21"/>
      <c r="E519" s="21"/>
      <c r="F519" s="72"/>
      <c r="H519" s="69">
        <v>2000</v>
      </c>
      <c r="I519" s="62"/>
    </row>
    <row r="520" spans="2:9" s="16" customFormat="1" ht="12.75">
      <c r="B520" s="16" t="s">
        <v>446</v>
      </c>
      <c r="D520" s="21"/>
      <c r="E520" s="21"/>
      <c r="F520" s="72"/>
      <c r="H520" s="69">
        <v>1000</v>
      </c>
      <c r="I520" s="62"/>
    </row>
    <row r="521" spans="2:9" s="16" customFormat="1" ht="12.75">
      <c r="B521" s="16" t="s">
        <v>447</v>
      </c>
      <c r="D521" s="21"/>
      <c r="E521" s="21"/>
      <c r="F521" s="72"/>
      <c r="H521" s="69"/>
      <c r="I521" s="62"/>
    </row>
    <row r="522" spans="2:9" s="16" customFormat="1" ht="12.75">
      <c r="B522" s="16" t="s">
        <v>448</v>
      </c>
      <c r="D522" s="21"/>
      <c r="E522" s="21"/>
      <c r="F522" s="72"/>
      <c r="H522" s="69">
        <v>10000</v>
      </c>
      <c r="I522" s="62"/>
    </row>
    <row r="523" spans="2:9" s="16" customFormat="1" ht="12.75">
      <c r="B523" s="16" t="s">
        <v>449</v>
      </c>
      <c r="D523" s="21"/>
      <c r="E523" s="21"/>
      <c r="F523" s="72"/>
      <c r="H523" s="69"/>
      <c r="I523" s="62"/>
    </row>
    <row r="524" spans="2:9" s="16" customFormat="1" ht="12.75">
      <c r="B524" s="16" t="s">
        <v>450</v>
      </c>
      <c r="D524" s="21"/>
      <c r="E524" s="21"/>
      <c r="F524" s="72"/>
      <c r="H524" s="69">
        <v>30000</v>
      </c>
      <c r="I524" s="62"/>
    </row>
    <row r="525" spans="2:9" s="17" customFormat="1" ht="12.75">
      <c r="B525" s="17" t="s">
        <v>264</v>
      </c>
      <c r="D525" s="18"/>
      <c r="E525" s="18"/>
      <c r="F525" s="18"/>
      <c r="H525" s="29">
        <f>H492+H493-H500</f>
        <v>27000</v>
      </c>
      <c r="I525" s="62"/>
    </row>
    <row r="526" spans="4:9" s="17" customFormat="1" ht="12.75">
      <c r="D526" s="18"/>
      <c r="E526" s="18"/>
      <c r="F526" s="18"/>
      <c r="H526" s="29"/>
      <c r="I526" s="62"/>
    </row>
    <row r="527" spans="1:9" s="17" customFormat="1" ht="12.75">
      <c r="A527" s="17" t="s">
        <v>88</v>
      </c>
      <c r="B527" s="17" t="s">
        <v>113</v>
      </c>
      <c r="D527" s="18"/>
      <c r="E527" s="18"/>
      <c r="H527" s="29"/>
      <c r="I527" s="62"/>
    </row>
    <row r="528" spans="4:9" s="17" customFormat="1" ht="12.75">
      <c r="D528" s="18"/>
      <c r="E528" s="18"/>
      <c r="H528" s="29"/>
      <c r="I528" s="62"/>
    </row>
    <row r="529" spans="2:9" s="17" customFormat="1" ht="12.75">
      <c r="B529" s="17" t="s">
        <v>265</v>
      </c>
      <c r="D529" s="18"/>
      <c r="E529" s="18"/>
      <c r="H529" s="29">
        <v>-150125.72</v>
      </c>
      <c r="I529" s="62"/>
    </row>
    <row r="530" spans="2:9" s="50" customFormat="1" ht="12.75">
      <c r="B530" s="50" t="s">
        <v>111</v>
      </c>
      <c r="D530" s="51"/>
      <c r="E530" s="51"/>
      <c r="H530" s="52">
        <f>SUM(F534:F543)</f>
        <v>4985570</v>
      </c>
      <c r="I530" s="65"/>
    </row>
    <row r="531" spans="2:8" ht="12.75">
      <c r="B531" t="s">
        <v>54</v>
      </c>
      <c r="H531" s="30"/>
    </row>
    <row r="532" spans="2:8" ht="12.75">
      <c r="B532" t="s">
        <v>121</v>
      </c>
      <c r="H532" s="30"/>
    </row>
    <row r="533" spans="2:8" ht="12.75">
      <c r="B533" t="s">
        <v>122</v>
      </c>
      <c r="H533" s="30"/>
    </row>
    <row r="534" spans="2:8" ht="12.75">
      <c r="B534" t="s">
        <v>267</v>
      </c>
      <c r="F534" s="39">
        <f>4499150+35000</f>
        <v>4534150</v>
      </c>
      <c r="G534" s="4"/>
      <c r="H534" s="30"/>
    </row>
    <row r="535" spans="2:8" ht="12.75">
      <c r="B535" t="s">
        <v>266</v>
      </c>
      <c r="F535" s="39"/>
      <c r="G535" s="4"/>
      <c r="H535" s="30"/>
    </row>
    <row r="536" spans="2:8" ht="12.75">
      <c r="B536" s="6" t="s">
        <v>283</v>
      </c>
      <c r="F536" s="39"/>
      <c r="G536" s="4"/>
      <c r="H536" s="30"/>
    </row>
    <row r="537" spans="2:8" ht="12.75">
      <c r="B537" s="6" t="s">
        <v>200</v>
      </c>
      <c r="F537" s="39">
        <v>150000</v>
      </c>
      <c r="G537" s="4"/>
      <c r="H537" s="30"/>
    </row>
    <row r="538" spans="2:8" ht="12.75">
      <c r="B538" t="s">
        <v>171</v>
      </c>
      <c r="F538" s="39"/>
      <c r="G538" s="4"/>
      <c r="H538" s="30"/>
    </row>
    <row r="539" spans="2:8" ht="12.75">
      <c r="B539" s="6" t="s">
        <v>284</v>
      </c>
      <c r="F539" s="39"/>
      <c r="G539" s="4"/>
      <c r="H539" s="30"/>
    </row>
    <row r="540" spans="2:8" ht="12.75">
      <c r="B540" s="6" t="s">
        <v>285</v>
      </c>
      <c r="F540" s="39">
        <v>50000</v>
      </c>
      <c r="G540" s="4"/>
      <c r="H540" s="30"/>
    </row>
    <row r="541" spans="2:8" ht="12.75">
      <c r="B541" t="s">
        <v>451</v>
      </c>
      <c r="F541" s="39"/>
      <c r="G541" s="4"/>
      <c r="H541" s="30"/>
    </row>
    <row r="542" spans="2:8" ht="12.75">
      <c r="B542" s="6" t="s">
        <v>452</v>
      </c>
      <c r="F542" s="39"/>
      <c r="G542" s="4"/>
      <c r="H542" s="30"/>
    </row>
    <row r="543" spans="2:8" ht="12.75">
      <c r="B543" s="6" t="s">
        <v>453</v>
      </c>
      <c r="F543" s="39">
        <v>251420</v>
      </c>
      <c r="G543" s="4"/>
      <c r="H543" s="30"/>
    </row>
    <row r="544" spans="2:8" ht="12.75">
      <c r="B544" s="6"/>
      <c r="F544" s="39"/>
      <c r="G544" s="4"/>
      <c r="H544" s="30"/>
    </row>
    <row r="545" spans="2:9" s="50" customFormat="1" ht="12.75">
      <c r="B545" s="50" t="s">
        <v>226</v>
      </c>
      <c r="D545" s="51"/>
      <c r="E545" s="51"/>
      <c r="F545" s="54"/>
      <c r="G545" s="51"/>
      <c r="H545" s="52">
        <f>SUM(F547:F569)</f>
        <v>4833530</v>
      </c>
      <c r="I545" s="65"/>
    </row>
    <row r="546" spans="2:8" ht="12.75">
      <c r="B546" t="s">
        <v>54</v>
      </c>
      <c r="F546" s="42"/>
      <c r="G546" s="4"/>
      <c r="H546" s="30"/>
    </row>
    <row r="547" spans="2:8" ht="12.75">
      <c r="B547" t="s">
        <v>268</v>
      </c>
      <c r="F547" s="39">
        <f>2053824+165000+331100+51564</f>
        <v>2601488</v>
      </c>
      <c r="G547" s="4"/>
      <c r="H547" s="30"/>
    </row>
    <row r="548" spans="2:8" ht="12.75">
      <c r="B548" t="s">
        <v>227</v>
      </c>
      <c r="F548" s="39">
        <v>100000</v>
      </c>
      <c r="G548" s="4"/>
      <c r="H548" s="30"/>
    </row>
    <row r="549" spans="2:8" ht="12.75">
      <c r="B549" t="s">
        <v>229</v>
      </c>
      <c r="F549" s="39"/>
      <c r="G549" s="4"/>
      <c r="H549" s="30"/>
    </row>
    <row r="550" spans="2:8" ht="12.75">
      <c r="B550" t="s">
        <v>454</v>
      </c>
      <c r="F550" s="39">
        <f>563000+3500</f>
        <v>566500</v>
      </c>
      <c r="G550" s="4"/>
      <c r="H550" s="30"/>
    </row>
    <row r="551" spans="2:8" ht="12.75">
      <c r="B551" t="s">
        <v>230</v>
      </c>
      <c r="F551" s="39">
        <v>38140</v>
      </c>
      <c r="G551" s="4"/>
      <c r="H551" s="30"/>
    </row>
    <row r="552" spans="2:8" ht="12.75">
      <c r="B552" t="s">
        <v>231</v>
      </c>
      <c r="F552" s="39"/>
      <c r="G552" s="4"/>
      <c r="H552" s="30"/>
    </row>
    <row r="553" spans="2:8" ht="12.75">
      <c r="B553" t="s">
        <v>228</v>
      </c>
      <c r="F553" s="39"/>
      <c r="G553" s="4"/>
      <c r="H553" s="30"/>
    </row>
    <row r="554" spans="2:8" ht="12.75">
      <c r="B554" t="s">
        <v>269</v>
      </c>
      <c r="F554" s="39">
        <v>1104000</v>
      </c>
      <c r="G554" s="4"/>
      <c r="H554" s="30"/>
    </row>
    <row r="555" spans="2:8" ht="12.75">
      <c r="B555" t="s">
        <v>456</v>
      </c>
      <c r="F555" s="39"/>
      <c r="G555" s="4"/>
      <c r="H555" s="30"/>
    </row>
    <row r="556" spans="2:8" ht="12.75">
      <c r="B556" t="s">
        <v>457</v>
      </c>
      <c r="F556" s="39">
        <f>53000+3000</f>
        <v>56000</v>
      </c>
      <c r="G556" s="4"/>
      <c r="H556" s="30"/>
    </row>
    <row r="557" spans="2:8" ht="12.75">
      <c r="B557" t="s">
        <v>232</v>
      </c>
      <c r="F557" s="39">
        <v>20000</v>
      </c>
      <c r="G557" s="4"/>
      <c r="H557" s="30"/>
    </row>
    <row r="558" spans="2:8" ht="12.75">
      <c r="B558" s="6" t="s">
        <v>233</v>
      </c>
      <c r="F558" s="39">
        <v>45120</v>
      </c>
      <c r="G558" s="4"/>
      <c r="H558" s="30"/>
    </row>
    <row r="559" spans="2:8" ht="12.75">
      <c r="B559" s="6" t="s">
        <v>234</v>
      </c>
      <c r="F559" s="39">
        <v>61500</v>
      </c>
      <c r="G559" s="4"/>
      <c r="H559" s="30"/>
    </row>
    <row r="560" spans="2:8" ht="12.75">
      <c r="B560" s="41" t="s">
        <v>270</v>
      </c>
      <c r="F560" s="39">
        <v>65000</v>
      </c>
      <c r="G560" s="4"/>
      <c r="H560" s="30"/>
    </row>
    <row r="561" spans="2:8" ht="12.75">
      <c r="B561" t="s">
        <v>271</v>
      </c>
      <c r="F561" s="60">
        <v>2200</v>
      </c>
      <c r="G561" s="4"/>
      <c r="H561" s="30"/>
    </row>
    <row r="562" spans="2:8" ht="12.75">
      <c r="B562" t="s">
        <v>272</v>
      </c>
      <c r="F562" s="60">
        <v>3500</v>
      </c>
      <c r="G562" s="4"/>
      <c r="H562" s="30"/>
    </row>
    <row r="563" spans="2:8" ht="12.75">
      <c r="B563" t="s">
        <v>235</v>
      </c>
      <c r="F563" s="60">
        <v>61000</v>
      </c>
      <c r="G563" s="4"/>
      <c r="H563" s="30"/>
    </row>
    <row r="564" spans="2:8" ht="12.75">
      <c r="B564" t="s">
        <v>236</v>
      </c>
      <c r="F564" s="60">
        <f>12000+3000</f>
        <v>15000</v>
      </c>
      <c r="G564" s="4"/>
      <c r="H564" s="30"/>
    </row>
    <row r="565" spans="2:8" ht="12.75">
      <c r="B565" t="s">
        <v>243</v>
      </c>
      <c r="F565" s="60">
        <v>4000</v>
      </c>
      <c r="G565" s="4"/>
      <c r="H565" s="30"/>
    </row>
    <row r="566" spans="2:8" ht="12.75">
      <c r="B566" t="s">
        <v>273</v>
      </c>
      <c r="F566" s="60">
        <f>58300+2000</f>
        <v>60300</v>
      </c>
      <c r="G566" s="4"/>
      <c r="H566" s="30"/>
    </row>
    <row r="567" spans="2:8" ht="12.75">
      <c r="B567" t="s">
        <v>274</v>
      </c>
      <c r="F567" s="60">
        <v>7000</v>
      </c>
      <c r="G567" s="4"/>
      <c r="H567" s="30"/>
    </row>
    <row r="568" spans="2:8" ht="12.75">
      <c r="B568" t="s">
        <v>275</v>
      </c>
      <c r="F568" s="60">
        <v>10000</v>
      </c>
      <c r="G568" s="4"/>
      <c r="H568" s="30"/>
    </row>
    <row r="569" spans="2:8" ht="12.75">
      <c r="B569" t="s">
        <v>455</v>
      </c>
      <c r="F569" s="60">
        <v>12782</v>
      </c>
      <c r="G569" s="4"/>
      <c r="H569" s="30"/>
    </row>
    <row r="570" spans="6:8" ht="12.75">
      <c r="F570" s="60"/>
      <c r="G570" s="4"/>
      <c r="H570" s="30"/>
    </row>
    <row r="571" spans="6:8" ht="12.75">
      <c r="F571" s="4"/>
      <c r="G571" s="4"/>
      <c r="H571" s="30"/>
    </row>
    <row r="572" spans="2:9" s="17" customFormat="1" ht="12.75">
      <c r="B572" s="17" t="s">
        <v>264</v>
      </c>
      <c r="D572" s="18"/>
      <c r="E572" s="18"/>
      <c r="F572" s="18"/>
      <c r="G572" s="18"/>
      <c r="H572" s="29">
        <f>H529+H530-H545</f>
        <v>1914.2800000002608</v>
      </c>
      <c r="I572" s="62"/>
    </row>
    <row r="573" spans="2:5" ht="12.75">
      <c r="B573" s="16"/>
      <c r="C573" s="16"/>
      <c r="D573" s="21"/>
      <c r="E573" s="21"/>
    </row>
    <row r="574" ht="12.75">
      <c r="A574" t="s">
        <v>276</v>
      </c>
    </row>
  </sheetData>
  <printOptions/>
  <pageMargins left="0" right="0" top="0.7874015748031497" bottom="0.5905511811023623" header="0.11811023622047245" footer="0.31496062992125984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2009-11-12T07:38:58Z</cp:lastPrinted>
  <dcterms:created xsi:type="dcterms:W3CDTF">2001-11-07T14:31:48Z</dcterms:created>
  <dcterms:modified xsi:type="dcterms:W3CDTF">2009-11-12T07:54:40Z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