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090" windowHeight="5640" activeTab="1"/>
  </bookViews>
  <sheets>
    <sheet name="Wykres1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<sst xmlns="http://schemas.openxmlformats.org/spreadsheetml/2006/main" count="1364" uniqueCount="686">
  <si>
    <t>a) zestawienie wydatków wg działów</t>
  </si>
  <si>
    <t>Przewidywane</t>
  </si>
  <si>
    <t>%</t>
  </si>
  <si>
    <t>Struktura</t>
  </si>
  <si>
    <t>Lp.</t>
  </si>
  <si>
    <t xml:space="preserve">                      Treść</t>
  </si>
  <si>
    <t>Wykonanie</t>
  </si>
  <si>
    <t>w roku 1997r.</t>
  </si>
  <si>
    <t>OŚWIATA  I  WYCHOWANIE</t>
  </si>
  <si>
    <t>OCHRONA  ZDROWIA</t>
  </si>
  <si>
    <t xml:space="preserve"> O G Ó Ł E M</t>
  </si>
  <si>
    <t>z tego:</t>
  </si>
  <si>
    <t>bieżące</t>
  </si>
  <si>
    <t>b) zestawienie wydatków wg działów ,rozdziałów i paragrafów</t>
  </si>
  <si>
    <t>Pozostała  działalność</t>
  </si>
  <si>
    <t>w tym:</t>
  </si>
  <si>
    <t>Drogi publiczne gminne</t>
  </si>
  <si>
    <t>nadzór inwestorski-bieżące utrzymanie</t>
  </si>
  <si>
    <t>oznakowanie  i urządz.zabezp.ulic</t>
  </si>
  <si>
    <t>inne</t>
  </si>
  <si>
    <t>miasto</t>
  </si>
  <si>
    <t>plaża</t>
  </si>
  <si>
    <t>remont zejścia na plażę Lubiewo</t>
  </si>
  <si>
    <t>sołectwa</t>
  </si>
  <si>
    <t>odkomarzanie</t>
  </si>
  <si>
    <t>Pozostała działalność</t>
  </si>
  <si>
    <t>Ochotnicze straże pożarne</t>
  </si>
  <si>
    <t>wynagrodzenia osobowe pracowników</t>
  </si>
  <si>
    <t>dodatkowe wynagrodzenie roczne</t>
  </si>
  <si>
    <t>podróże służbowe krajowe</t>
  </si>
  <si>
    <t>energia</t>
  </si>
  <si>
    <t>różne opłaty składki</t>
  </si>
  <si>
    <t>składki na ubezpieczenia społeczne</t>
  </si>
  <si>
    <t>składki na Fundusz Pracy</t>
  </si>
  <si>
    <t>odpisy na zakł.fund. świadczeń socjal.</t>
  </si>
  <si>
    <t>Opracowania geodezyjne i kartograf.</t>
  </si>
  <si>
    <t>podziały gruntu</t>
  </si>
  <si>
    <t>wykazy zmian gruntowych</t>
  </si>
  <si>
    <t>wyceny nieruchomości /mieszkaniówka/</t>
  </si>
  <si>
    <t>wyceny nieruchomości/geodezja/</t>
  </si>
  <si>
    <t>różne opłaty i składki</t>
  </si>
  <si>
    <t>nagrody i wydatki osob.nie zaliczane...</t>
  </si>
  <si>
    <t>stypendia różne</t>
  </si>
  <si>
    <t>podróże służbowe zagraniczne</t>
  </si>
  <si>
    <t>składki na ubezpieczenia sopłeczne</t>
  </si>
  <si>
    <t>odpisy na zakład.fund.świadcz.socjal.</t>
  </si>
  <si>
    <t>Dowożenie uczniów do szkół</t>
  </si>
  <si>
    <t>gimnazjum</t>
  </si>
  <si>
    <t>Biblioteki</t>
  </si>
  <si>
    <t>Przeciwdziałanie alkoholizmowi</t>
  </si>
  <si>
    <t>odpisy na zakład. fundusz św.socjal.</t>
  </si>
  <si>
    <t>świadczenia społeczne</t>
  </si>
  <si>
    <t>zadania zlecone</t>
  </si>
  <si>
    <t>zadania własne</t>
  </si>
  <si>
    <t>delegacje</t>
  </si>
  <si>
    <t>delegacje samochodowe</t>
  </si>
  <si>
    <t>opłaty pocztowe</t>
  </si>
  <si>
    <t>składki na ubezpiecznia społeczne</t>
  </si>
  <si>
    <t>odpisy na zakład. fundusz świad. socj.</t>
  </si>
  <si>
    <t>Dodatki mieszkaniowe</t>
  </si>
  <si>
    <t>ratownicy/kąpielisko strzeżone/</t>
  </si>
  <si>
    <t>Związek Miast i Gmin Morskich</t>
  </si>
  <si>
    <t>Urzędy wojewódzkie</t>
  </si>
  <si>
    <t>odzież ochronna i robocza</t>
  </si>
  <si>
    <t>okulary korygujące wzrok-praca z monitorem</t>
  </si>
  <si>
    <t>ryczałty</t>
  </si>
  <si>
    <t>materiały biurowe</t>
  </si>
  <si>
    <t>materiały biurowe - eksploatacyjne</t>
  </si>
  <si>
    <t>pozostałe środki trwałe w używaniu</t>
  </si>
  <si>
    <t xml:space="preserve">wydawnictwa i druki </t>
  </si>
  <si>
    <t>środki czystości</t>
  </si>
  <si>
    <t>reprezentacyjne</t>
  </si>
  <si>
    <t>BHP</t>
  </si>
  <si>
    <t>prenumerata czasopism i prasy</t>
  </si>
  <si>
    <t>woda</t>
  </si>
  <si>
    <t>wywóz nieczystości</t>
  </si>
  <si>
    <t>prowizja bankowa</t>
  </si>
  <si>
    <t>usługi komputerowe</t>
  </si>
  <si>
    <t>monitoring</t>
  </si>
  <si>
    <t>konserwacja systemu alarmowego</t>
  </si>
  <si>
    <t>PZU</t>
  </si>
  <si>
    <t>Komisje poborowe</t>
  </si>
  <si>
    <t>opłata miejscowa</t>
  </si>
  <si>
    <t>opłata targowa</t>
  </si>
  <si>
    <t>inne podatki i opłaty</t>
  </si>
  <si>
    <t>zastępcza służba wojskowa</t>
  </si>
  <si>
    <t>paliwo</t>
  </si>
  <si>
    <t>Straż Miejska</t>
  </si>
  <si>
    <t>Komendy powiatowe Policji</t>
  </si>
  <si>
    <t>RÓŻNE ROZLICZENIA</t>
  </si>
  <si>
    <t>Rezerwy ogólne i celowe</t>
  </si>
  <si>
    <t>rezerwy</t>
  </si>
  <si>
    <t>ogólna</t>
  </si>
  <si>
    <t>O10</t>
  </si>
  <si>
    <t>O1095</t>
  </si>
  <si>
    <t>TRANSPORT  I  ŁĄCZNOŚĆ</t>
  </si>
  <si>
    <t>ROLNICTWO I ŁOWIECTWO</t>
  </si>
  <si>
    <t>Drogi publiczne powiatowe</t>
  </si>
  <si>
    <t>GOSPODARKA  MIESZKANIOWA</t>
  </si>
  <si>
    <t>Gospodarka gruntami i nieruchomościami</t>
  </si>
  <si>
    <t>DZIAŁALNOŚĆ USŁUGOWA</t>
  </si>
  <si>
    <t>Plany zagospodarowania przestrzennego</t>
  </si>
  <si>
    <t>ADMINISTRACJA  PUBLICZNA</t>
  </si>
  <si>
    <t>Rady gmin</t>
  </si>
  <si>
    <t>Urzędy gmin</t>
  </si>
  <si>
    <t xml:space="preserve">BEZPIECZEŃSTWO PUBLICZNE </t>
  </si>
  <si>
    <t>I OCHRONA PRZECIWPOŻAROWA</t>
  </si>
  <si>
    <t>Obrona cywilna</t>
  </si>
  <si>
    <t>OBSŁUGA  DŁUGU  PUBLICZNEGO</t>
  </si>
  <si>
    <t>Obsługa papierów wartościowych,</t>
  </si>
  <si>
    <t>kredytów i pożyczek jedn.sam.teryt.</t>
  </si>
  <si>
    <t>Zasiłki i pomoc w naturze oraz składki</t>
  </si>
  <si>
    <t>Ośrodki pomocy społecznej</t>
  </si>
  <si>
    <t>Usługi opiekuńcze i specjalistyczne</t>
  </si>
  <si>
    <t>usługi opiekuńcze</t>
  </si>
  <si>
    <t>EDUKACYJNA OPIEKA WYCHOWAWCZA</t>
  </si>
  <si>
    <t>Świetlice szkolne</t>
  </si>
  <si>
    <t>Kolonie i obozy oraz inne formy</t>
  </si>
  <si>
    <t>wypoczynku dzieci i młodzieży szkol.</t>
  </si>
  <si>
    <t xml:space="preserve">GOSPODARKA  KOMUNALNA </t>
  </si>
  <si>
    <t>I OCHRONA ŚRODOWISKA</t>
  </si>
  <si>
    <t>Oczyszczanie miast i wsi</t>
  </si>
  <si>
    <t>Utrzymanie zieleni w miastach i gminach</t>
  </si>
  <si>
    <t>Oświetlenie ulic,placów i dróg</t>
  </si>
  <si>
    <t>KULTURA I OCHRONA  DZIEDZICTWA</t>
  </si>
  <si>
    <t>NARODOWEGO</t>
  </si>
  <si>
    <t>Domy i ośrodki kultury,świetlice i kluby</t>
  </si>
  <si>
    <t>TURYSTYKA</t>
  </si>
  <si>
    <t>URZĘDY NACZELNYCH ORGANÓW</t>
  </si>
  <si>
    <t>WŁADZY PAŃSTWOWEJ ,KONTROLI</t>
  </si>
  <si>
    <t>I OCHRONY PRAWA ORAZ SĄDOWNICTWA</t>
  </si>
  <si>
    <t>Urzędy naczelnych organów  władzy</t>
  </si>
  <si>
    <t>państwowej ,kontroli i ochrony prawa</t>
  </si>
  <si>
    <t>wydatki inwestycyjne jednostek budżet.</t>
  </si>
  <si>
    <t>zakup usług pozostałych</t>
  </si>
  <si>
    <t>zakup usług remontowych</t>
  </si>
  <si>
    <t>zakup materiałów i wyposażenia</t>
  </si>
  <si>
    <t>kary i odszkodowania wypłacone na rzecz</t>
  </si>
  <si>
    <t>zakup energii</t>
  </si>
  <si>
    <t>odsetki i dyskonto od krajowych skarbowych</t>
  </si>
  <si>
    <t>papierów wart.oraz pożyczek i kredytów</t>
  </si>
  <si>
    <t>zakup środków żywności</t>
  </si>
  <si>
    <t>zakup pomocy naukowych, dydaktycznych</t>
  </si>
  <si>
    <t>i książek</t>
  </si>
  <si>
    <t>zakup materiałów  i wyposażenia</t>
  </si>
  <si>
    <t xml:space="preserve">zakup usług pozostałych </t>
  </si>
  <si>
    <t>budżetowych</t>
  </si>
  <si>
    <t>szkoła nr 1</t>
  </si>
  <si>
    <t>szkoła nr 2</t>
  </si>
  <si>
    <t>KULTURA FIZYCZNA I SPORT</t>
  </si>
  <si>
    <t xml:space="preserve">aktualizacja mapy </t>
  </si>
  <si>
    <t>OGÓŁEM</t>
  </si>
  <si>
    <t>KULTURA FIZYCZNA  I  SPORT</t>
  </si>
  <si>
    <t>dotacja przedmiotowa z budżetu dla zakładu</t>
  </si>
  <si>
    <t>usługi prawne i inne</t>
  </si>
  <si>
    <t>wydatki na zakupy inwestycyjne jedn.bud.</t>
  </si>
  <si>
    <t>kredyt w rachunku bieżącym</t>
  </si>
  <si>
    <t>Różne rozliczenia finansowe</t>
  </si>
  <si>
    <t>wpłaty gmin do budżetu państwa</t>
  </si>
  <si>
    <t>wpłaty na PFRON</t>
  </si>
  <si>
    <t>remonty ulic w mieście i sołectwach</t>
  </si>
  <si>
    <t>remont chodników w mieście i sołectwach</t>
  </si>
  <si>
    <t>Plan  na  rok 2001</t>
  </si>
  <si>
    <t>przed</t>
  </si>
  <si>
    <t>zmianami</t>
  </si>
  <si>
    <t>kol.6/5</t>
  </si>
  <si>
    <t>O1030</t>
  </si>
  <si>
    <t>Izby rolnicze</t>
  </si>
  <si>
    <t>wpłaty gmin na rzecz izb rolniczych  w wysokości</t>
  </si>
  <si>
    <t>2% uzyskanych wpływów z podatku rolnego</t>
  </si>
  <si>
    <t>Cmentarze</t>
  </si>
  <si>
    <t>promocja</t>
  </si>
  <si>
    <t>inne opłaty</t>
  </si>
  <si>
    <t>pożyczka z WFOŚ na termomodernizację</t>
  </si>
  <si>
    <t xml:space="preserve">Szkoły podstawowe          </t>
  </si>
  <si>
    <t xml:space="preserve">Gimnazja                 </t>
  </si>
  <si>
    <t xml:space="preserve">Stołówki szkolne                </t>
  </si>
  <si>
    <t>Zakłady gospodarki komunalnej</t>
  </si>
  <si>
    <t xml:space="preserve">Stowarzysz.Gmin Polskich Euroregionu Pomerania </t>
  </si>
  <si>
    <t>wynagrodz.osob.prac.(nagrody dla dyrektorów)</t>
  </si>
  <si>
    <t xml:space="preserve">place zabaw </t>
  </si>
  <si>
    <t>toalety na odcinku od Gromady do Lubiewa</t>
  </si>
  <si>
    <t>plan zagospodarowania przestrzennego</t>
  </si>
  <si>
    <t>pozostałe odsetki</t>
  </si>
  <si>
    <t>Dokształcanie i doskonalenie nauczycieli</t>
  </si>
  <si>
    <t>przedszkole</t>
  </si>
  <si>
    <t>Składki na ubezpieczenie zdrowotne opłacane</t>
  </si>
  <si>
    <t>za osoby pobierające niektóre świadczenia</t>
  </si>
  <si>
    <t>składki na ubezpieczenie zdrowotne</t>
  </si>
  <si>
    <t>zakup energii (oświetlenie ulic)</t>
  </si>
  <si>
    <t>majątkowe(inwestycyjne)</t>
  </si>
  <si>
    <t>wydatki inwestycyjne jednostek budżetowych</t>
  </si>
  <si>
    <t>wskażnik</t>
  </si>
  <si>
    <t>na ubezpieczenia społeczne</t>
  </si>
  <si>
    <t>wydatki inwestycyjne jedn.budżetowych</t>
  </si>
  <si>
    <t>połączenie nieruchomości</t>
  </si>
  <si>
    <t>wznowienie granic nieruchomości</t>
  </si>
  <si>
    <t>(diety sołtysów)</t>
  </si>
  <si>
    <t>zakup energii (kotłownia Urzędu)</t>
  </si>
  <si>
    <t>dot.celowe na fin.lub dofin.kosztow real.inw...</t>
  </si>
  <si>
    <t>ogłoszenia o przetargach i inne ogł./geodezja/</t>
  </si>
  <si>
    <t>ogłosz.o przetargach i in.ogł. /mieszkaniówka/</t>
  </si>
  <si>
    <t>POMOC  SPOŁECZNA</t>
  </si>
  <si>
    <t xml:space="preserve">Przedszkola </t>
  </si>
  <si>
    <t>akty normatywne</t>
  </si>
  <si>
    <t>ogłoszenia o przetargach i inne ogłoszenia</t>
  </si>
  <si>
    <t>decyzje o warunkach zabudowy</t>
  </si>
  <si>
    <t>kredyt - 1.550.000 zł ( 7 lat)</t>
  </si>
  <si>
    <t>kredyt - 6.350.000 zł ( 10 lat)</t>
  </si>
  <si>
    <t>wydatki  inwestycyjne jednostek</t>
  </si>
  <si>
    <t>wydatki na zkupy inwestyc. jednostek budżet.</t>
  </si>
  <si>
    <t>dotacja celowa z budżetu na fianasow.lub</t>
  </si>
  <si>
    <t>dofinans.zadań zleconych do realiz.stowarzysz.</t>
  </si>
  <si>
    <t>świadczenia opiekuńcze</t>
  </si>
  <si>
    <t>składki na uezpieczenia społeczne</t>
  </si>
  <si>
    <t>składki na ub.społeczne-świadczenia rodzinne</t>
  </si>
  <si>
    <t>świadczenia  rodzinne</t>
  </si>
  <si>
    <t>dotacja celowa z budżetu na finans.lub dofinas.</t>
  </si>
  <si>
    <t>zadań zleconych do realizacji stowarzyszeniom</t>
  </si>
  <si>
    <t>zakup materiałów sygn.włamania i p.poż.</t>
  </si>
  <si>
    <t>USC</t>
  </si>
  <si>
    <t>ewidencja ludności</t>
  </si>
  <si>
    <t>gminna komisja urbanistyczna</t>
  </si>
  <si>
    <t>promocja sprzedaży nieruchomości</t>
  </si>
  <si>
    <t>(nauczyciele emeryci)</t>
  </si>
  <si>
    <t xml:space="preserve">opieka nad bezdomnymi psami, </t>
  </si>
  <si>
    <t>zadania własne - zasiłki okresowe</t>
  </si>
  <si>
    <t>kotłownia urzędu</t>
  </si>
  <si>
    <t xml:space="preserve">z pomocy społecznej oraz niektóre </t>
  </si>
  <si>
    <t>świadczenia rodzinne</t>
  </si>
  <si>
    <t>a także szkolenia młodzieży</t>
  </si>
  <si>
    <t>wynagrodzenia bezosobowe</t>
  </si>
  <si>
    <t xml:space="preserve">wynagrodzenia bezosobowe </t>
  </si>
  <si>
    <t>dotacja podmiotowa z budżetu dla</t>
  </si>
  <si>
    <t>samorządowej instytucji kultury</t>
  </si>
  <si>
    <t>zakup usług przez jedn.samorz.teryt.od innych</t>
  </si>
  <si>
    <t xml:space="preserve">jedn.sam.teryt. ( opłaty za pobyt w domu </t>
  </si>
  <si>
    <t>pomocy społecznej)</t>
  </si>
  <si>
    <t>wydatki osobowe niezaliczone do wynagrodzeń</t>
  </si>
  <si>
    <t>OBRONA  NARODOWA</t>
  </si>
  <si>
    <t>Pozostałe wydatki obronne</t>
  </si>
  <si>
    <t>dotacje celowe przekazane dla powiatu na</t>
  </si>
  <si>
    <t>monitoring składowiska odpadów</t>
  </si>
  <si>
    <t>zakup usług pozostałych (dopłaty do biletów</t>
  </si>
  <si>
    <t>z art..18a ustawy o transporcie drogowym)</t>
  </si>
  <si>
    <t>zakup usług pozostałych(rozbiórki budynków)</t>
  </si>
  <si>
    <t>gaz</t>
  </si>
  <si>
    <t>Związek Miast Polskich</t>
  </si>
  <si>
    <t>wpłaty jednostek na fundusz celowy</t>
  </si>
  <si>
    <t>inne formy pomocy dla uczniów</t>
  </si>
  <si>
    <t>wynagrodzenia  bezosobowe</t>
  </si>
  <si>
    <t xml:space="preserve">(dla nauczycieli emerytów) </t>
  </si>
  <si>
    <t>umowy zlecenia  GKRPA</t>
  </si>
  <si>
    <t>wynagrodzenia członków GKRPA</t>
  </si>
  <si>
    <t>zaliczki alimentacyjne</t>
  </si>
  <si>
    <t>Pomoc materialna dla uczniów</t>
  </si>
  <si>
    <t>miasto i promenada</t>
  </si>
  <si>
    <t>iluminacja świąteczna i inne prace</t>
  </si>
  <si>
    <t>dotacje celowe przekazane gminie na inwestycje</t>
  </si>
  <si>
    <t>i zakupy inwestycyjne realizowane na podstwie</t>
  </si>
  <si>
    <t>porozumień między jst (schronisko dla zwierząt)</t>
  </si>
  <si>
    <t>podstawowych</t>
  </si>
  <si>
    <t xml:space="preserve">Oddziały przedszkolne w szkołach </t>
  </si>
  <si>
    <t>stypendia dla uczniów</t>
  </si>
  <si>
    <t>wynagrodzenia-zadania zlecone</t>
  </si>
  <si>
    <t>wynagrodzenia-zadania własne</t>
  </si>
  <si>
    <t>składki na ub.społeczne pracownika-zad.własne</t>
  </si>
  <si>
    <t>dodatkowe wynagrodzenie roczne (zad.własne)</t>
  </si>
  <si>
    <t>ekwiwalent za używanie odzieży</t>
  </si>
  <si>
    <t>na podstawie porozumień między jed.sam.teryt.</t>
  </si>
  <si>
    <t xml:space="preserve">inwestycje i zakupy inwestycyjne realizowane </t>
  </si>
  <si>
    <t xml:space="preserve">("Modernizacja drogi Wapnica-Wicko w gminie </t>
  </si>
  <si>
    <t>wpłaty gmin i powiatów na rzecz innych jst oraz</t>
  </si>
  <si>
    <t>związków gmin lub zw.powiatów na dof.zad.bież.</t>
  </si>
  <si>
    <t>Związek Gmin Wyspy Wolin</t>
  </si>
  <si>
    <t>dotacja celowa z budżetu na finansowanie lub</t>
  </si>
  <si>
    <t>dofinans.zadań zleconych do realizacji stowarzysz.</t>
  </si>
  <si>
    <t>składki na ub.społeczne pracownika-zad.zlecone</t>
  </si>
  <si>
    <t>składki na Fundusz Pracy -zadania  własne</t>
  </si>
  <si>
    <t>składki na Fundusz Pracy -zadania  zlecone</t>
  </si>
  <si>
    <t xml:space="preserve">składki na Fundusz Pracy </t>
  </si>
  <si>
    <t>zakup usług pozostałych (zad.zlecone)</t>
  </si>
  <si>
    <t>Zwalczanie narkomanii</t>
  </si>
  <si>
    <t>różne opłaty i składki (opł.z tyt.wieczyst.użytk.)</t>
  </si>
  <si>
    <t>wydatki związane z utrzym.bud.i lokali mieszk.</t>
  </si>
  <si>
    <t>modernizacja budynku urzędu (remont dachu</t>
  </si>
  <si>
    <t>zakup usług zdrowotnych</t>
  </si>
  <si>
    <t>oraz skł.na ubezp.emeryt.i rent.z ubezp.społ.</t>
  </si>
  <si>
    <t>Świadczenia rodzinne, zaliczka alimentac.</t>
  </si>
  <si>
    <t>składki na ubezpiecz.społ.(sekcje sportowe)</t>
  </si>
  <si>
    <t>składki na Fundusz Pracy(sekcje sportowe)</t>
  </si>
  <si>
    <t>wynagrodzenia bezosobowe (sekcje sportowe)</t>
  </si>
  <si>
    <t>zakup materiałów i wyposażenie (sekcje sportowe)</t>
  </si>
  <si>
    <t>zakup usług pozostałych(sekcje sportowe )</t>
  </si>
  <si>
    <t>podróże służbowe krajowe(sekcje sportowe)</t>
  </si>
  <si>
    <t>różne opłaty i składki (sekcje sportowe)</t>
  </si>
  <si>
    <t>2007 r.</t>
  </si>
  <si>
    <t xml:space="preserve">różne opłaty i składki </t>
  </si>
  <si>
    <t>opłaty za korzystanie ze środowiska</t>
  </si>
  <si>
    <t>opłata za umieszcz.w pasie drog.urządz.infrastr.</t>
  </si>
  <si>
    <t>rekompensata za drogę,chodnik i bud.Norwida</t>
  </si>
  <si>
    <t>materiały do remontu</t>
  </si>
  <si>
    <t>energia-promocja</t>
  </si>
  <si>
    <t>telefoni komórkowej</t>
  </si>
  <si>
    <t>telefoni stacjonarnej</t>
  </si>
  <si>
    <t xml:space="preserve">promocja-ubezpieczenia i skł.członkowska </t>
  </si>
  <si>
    <t>podatek od towarów i usług(VAT)</t>
  </si>
  <si>
    <t>koszty postępowania egzekucyjnego</t>
  </si>
  <si>
    <t>koszty postępowania sądowego</t>
  </si>
  <si>
    <t>zakup materiałów papierniczych do sprzętu</t>
  </si>
  <si>
    <t>drukarskiego i urządzeń kserograficznych</t>
  </si>
  <si>
    <t>zakup akcesoriów komputerowych,w tym</t>
  </si>
  <si>
    <t>programów i licencji</t>
  </si>
  <si>
    <t>rozbudowa centrali telefonicznej</t>
  </si>
  <si>
    <t>energia-skrzynka energ.-promocja</t>
  </si>
  <si>
    <t>(ubezpieczenie kotłowni urzędu)</t>
  </si>
  <si>
    <t>zakup energii(woda na cele przeciwpożarowe)</t>
  </si>
  <si>
    <t>program Socrates-Cumenius)</t>
  </si>
  <si>
    <t xml:space="preserve">zakup usług zdrowotnych </t>
  </si>
  <si>
    <t>podróże służbowe zagraniczne(Szkoła nr 1</t>
  </si>
  <si>
    <t>opłaty z tyt.zakupu usług telekomunikacyjnych</t>
  </si>
  <si>
    <t>posiłek dla potrzebujących-z dotacji</t>
  </si>
  <si>
    <t>posiłek dla potrzebujących-budżet gminy</t>
  </si>
  <si>
    <t>prace społecznie użyteczne</t>
  </si>
  <si>
    <t>"akcja zimowa-drogi powiatowe"</t>
  </si>
  <si>
    <t>utrzymanie czystości-powiat</t>
  </si>
  <si>
    <t>budżetowego(ZOŚ-dofin.utrzym.stadionu)</t>
  </si>
  <si>
    <t>wyposażenie komunalnego ujęcia wody</t>
  </si>
  <si>
    <t>w automatyczną stację uzdatniania</t>
  </si>
  <si>
    <t>podatek od nieruchomości</t>
  </si>
  <si>
    <t xml:space="preserve">zakup usług remontowych </t>
  </si>
  <si>
    <t>zakup usług dostępu do sieci Internet</t>
  </si>
  <si>
    <t>zakup usług dostepu do sieci  Internet</t>
  </si>
  <si>
    <t xml:space="preserve">osób fizycznych </t>
  </si>
  <si>
    <t xml:space="preserve">zwrot nakładów poczynionych przez byłego </t>
  </si>
  <si>
    <t>nagrody dla dyrektorów placówek oświatowych</t>
  </si>
  <si>
    <t>nagroda Burmistrza-oświata</t>
  </si>
  <si>
    <t>aktualizacja programów i usługi serwisowe</t>
  </si>
  <si>
    <t>inne i deratyzacja</t>
  </si>
  <si>
    <t>telefonii stacjonarnej</t>
  </si>
  <si>
    <t>szkolenia pracowników nie będących członkami</t>
  </si>
  <si>
    <t>korpusu służby cywilnej</t>
  </si>
  <si>
    <t>szkolenia pracowników niebędących członkami</t>
  </si>
  <si>
    <t>telefonii stacjionarnej</t>
  </si>
  <si>
    <t>inwentaryzacja złóż naturalnych surowców leczn.</t>
  </si>
  <si>
    <t>kredyt  na budowę budynku mieszkalnego</t>
  </si>
  <si>
    <t>zakup energii (przepompownia melioracyjna)</t>
  </si>
  <si>
    <t>konserwacja przepompowni melioracyjnej</t>
  </si>
  <si>
    <t>dokumentacja i  utwardzenie nawierzchni</t>
  </si>
  <si>
    <t>pod punkty handlowe</t>
  </si>
  <si>
    <t>dok.tech.kan.sanit.-ul.Polna i Miernicza,</t>
  </si>
  <si>
    <t>rozbudowa sieci wod.kan -ul.Miernicza</t>
  </si>
  <si>
    <t>modernizacja sieci komputerowej</t>
  </si>
  <si>
    <t>przedszkole-plac zabaw</t>
  </si>
  <si>
    <t>gimnazjum-elewacja i docieplenie budynku</t>
  </si>
  <si>
    <t>gimnazjum-przebudowa  klatki schodowej</t>
  </si>
  <si>
    <t>budowa oświetlenia w ul.Turkusowej</t>
  </si>
  <si>
    <t>wydatki na zakupy inwestycyjne jed.budżet.</t>
  </si>
  <si>
    <t>Ochrona zabytków i opieka nad zabytkami</t>
  </si>
  <si>
    <t>rezerwy na inwestycje i zakupy inwestycyjne</t>
  </si>
  <si>
    <t>Gwiazd- BALBINKA)</t>
  </si>
  <si>
    <t>szkoła nr 1 -remont stołówki</t>
  </si>
  <si>
    <t>telefonii stacjonarnej (zad.własne)</t>
  </si>
  <si>
    <t>drukarskiego i urządzeń kserograficznych(własne)</t>
  </si>
  <si>
    <t>programów i licencji( zad.własne)</t>
  </si>
  <si>
    <t>przeprowadzenie inwentaryzacji dróg gminnych</t>
  </si>
  <si>
    <t xml:space="preserve">w związku z ewidencją dróg </t>
  </si>
  <si>
    <t xml:space="preserve">dopłaty do biletów z tyt.stosowania ulg </t>
  </si>
  <si>
    <t>w przewozie pasażerów zgodnie</t>
  </si>
  <si>
    <t>w kraju i zagranicą, opracowanie i wydanie</t>
  </si>
  <si>
    <t xml:space="preserve">informatorów turystycznych,opracowanie </t>
  </si>
  <si>
    <t>i wydanie mapy turystycznej Gminy Międzyzdroje</t>
  </si>
  <si>
    <t xml:space="preserve">reklama wizualna w mediach- realizacja </t>
  </si>
  <si>
    <t>programów promujących gminę oraz imprezy,</t>
  </si>
  <si>
    <t xml:space="preserve">zamieszczenie materiałow promocyjnych </t>
  </si>
  <si>
    <t xml:space="preserve">o gminie w dziennikach i wydawnictwach krajowych </t>
  </si>
  <si>
    <t>i zagranicznych,opracowanie i wydanie albumów</t>
  </si>
  <si>
    <t xml:space="preserve">i płyt,katalogów,materiałów promocyjnych </t>
  </si>
  <si>
    <t>artystycznych i rekreacyjnych oraz okolicznościo-</t>
  </si>
  <si>
    <t>wych,współorganizacja konferencji, zjazdów,</t>
  </si>
  <si>
    <t>(Udział gminy w targach turystycznych</t>
  </si>
  <si>
    <t>budowa i prowadzenie strony internet. dotyczacej</t>
  </si>
  <si>
    <t>tury i wspólnej marki turystycznej Zachodnio-</t>
  </si>
  <si>
    <t>pomorskiego Szlaku Żeglarskiego</t>
  </si>
  <si>
    <t>dotacje celowe przekazane gminie na zadania</t>
  </si>
  <si>
    <t>bieżące realizowane na podstawie porozumień</t>
  </si>
  <si>
    <t>między jednostkami samorządu terytorialnego</t>
  </si>
  <si>
    <t>(dotacja celowa na utrzymanie 15 stanowisk</t>
  </si>
  <si>
    <t>dla bezdomnych psów w schronisku - Gmina</t>
  </si>
  <si>
    <t>Golczewo)</t>
  </si>
  <si>
    <t>wydatki na zakupy inwestycyjne jednostek bud.</t>
  </si>
  <si>
    <t xml:space="preserve">(zakup programu komputerowego w celu </t>
  </si>
  <si>
    <t>zaprowadzenia ewidencji dróg)</t>
  </si>
  <si>
    <t>projekt bud.i wykon.adaptacji budynku.-ul.Ludowa 2</t>
  </si>
  <si>
    <t>zestaw konferencyjny (nagłośnienie)</t>
  </si>
  <si>
    <t>oprac.koncepcji zagospodarow. budynku WIKLINY</t>
  </si>
  <si>
    <t>(Komenda Wojewódzka Policji-dofinansow.</t>
  </si>
  <si>
    <t>dokumentacja na przebudowę ul.Kolejowej</t>
  </si>
  <si>
    <t>Załącznik nr 2</t>
  </si>
  <si>
    <t>Dział</t>
  </si>
  <si>
    <t>rozdz.</t>
  </si>
  <si>
    <t>&amp;</t>
  </si>
  <si>
    <t>projekt na rozbudowę sieci wod.-kan.-ul.Wąska</t>
  </si>
  <si>
    <t>Międzyzdroje")</t>
  </si>
  <si>
    <t>remont ciągów pieszych-amfiteatr</t>
  </si>
  <si>
    <t>utrzymanie dróg i chodników powiatowych</t>
  </si>
  <si>
    <t>przebudowa drogi w ul.Ludowej i 1000-lecia PP</t>
  </si>
  <si>
    <t>wykonanie studni chłonnej-Myśliwska</t>
  </si>
  <si>
    <t>(przygotowanie parkingu miejskiego)</t>
  </si>
  <si>
    <t>przygotowanie parkingu w ul.Komunalnej</t>
  </si>
  <si>
    <t>(toaleta socjalno-bytowa i kontener-parking)</t>
  </si>
  <si>
    <t>koszt wyceny nieruch.-poręczenie stadion</t>
  </si>
  <si>
    <t>różne opłaty</t>
  </si>
  <si>
    <t>koszty notarialne-poręczenie stadionu</t>
  </si>
  <si>
    <t xml:space="preserve">(zwrot podatku VAT nabywcy nieruch.przy </t>
  </si>
  <si>
    <t>ul.Kopernika)</t>
  </si>
  <si>
    <t>koszty windykacji zaległych czynszów(PZM)</t>
  </si>
  <si>
    <t>wydatki zw.z rozl.zaliczki na utrzymanie</t>
  </si>
  <si>
    <t>rozbiórka hali na terenie ZOŚ</t>
  </si>
  <si>
    <t>budowa budynku mieszkalnego przy</t>
  </si>
  <si>
    <t>ul.Skłodowskiej</t>
  </si>
  <si>
    <t>remont mieszkań komunalnych -MTBS</t>
  </si>
  <si>
    <t>oprac.projektu na bud.budynku mieszk.-Słowiańska</t>
  </si>
  <si>
    <t>wynagrodzenia bezosobowe(ocena</t>
  </si>
  <si>
    <t>aktualności planu zagosp.przestrz.i studium)</t>
  </si>
  <si>
    <t xml:space="preserve">remont przyziemia kaplicy na Cmentarzu </t>
  </si>
  <si>
    <t>Komunalnym w Międzyzdrojach)</t>
  </si>
  <si>
    <t>remont dachu kopuły kaplicy na cmentarzu</t>
  </si>
  <si>
    <t>zakup usług pozostałych(urządzenie</t>
  </si>
  <si>
    <t>miejsca pamięci-cmentarz w Lubiniu)</t>
  </si>
  <si>
    <t>(reprezentacyjne i inne)</t>
  </si>
  <si>
    <t>wynagrodzenia bezosobowe (w tym promocja:</t>
  </si>
  <si>
    <t>inne artykuły papiernicze</t>
  </si>
  <si>
    <t>konserwacja maszyn i urządzeń</t>
  </si>
  <si>
    <t>konserwacja systemu łączności</t>
  </si>
  <si>
    <t>remont pomieszczeń urzędu</t>
  </si>
  <si>
    <t>o atrakcjach turystycznych,współorganizacja imprez</t>
  </si>
  <si>
    <t>lokale i pomieszczenia garażowe</t>
  </si>
  <si>
    <t>opłaty za administrowanie i czynsze za budynki,</t>
  </si>
  <si>
    <t>zakup programów komputerowych i licencji</t>
  </si>
  <si>
    <t>samoobsługowy kiosk multimedialny-promocja</t>
  </si>
  <si>
    <t>kserokopiarka</t>
  </si>
  <si>
    <t>Celowy Związek Gmin R-XXI</t>
  </si>
  <si>
    <t>(zastępcza służba wojskowa)</t>
  </si>
  <si>
    <t>(roboty publiczne refundowane)</t>
  </si>
  <si>
    <t>kotłowni urzędu)</t>
  </si>
  <si>
    <t>lokale i pomieszczenia garażowe(punkt</t>
  </si>
  <si>
    <t>Powiatowego Urzędu Pracy)</t>
  </si>
  <si>
    <t>remontu Komisariatu Policji-50 000 zł oraz</t>
  </si>
  <si>
    <t>utrzymanie sił wsparcia sezon 2007 r.-</t>
  </si>
  <si>
    <t>(umundurowanie)</t>
  </si>
  <si>
    <t xml:space="preserve">inne materiały </t>
  </si>
  <si>
    <t>(wrota Międzyzdrojów-zabezp.bezpieczeństwa</t>
  </si>
  <si>
    <t>turystów oraz wdrożenie społeczeństwa</t>
  </si>
  <si>
    <t>informacyjnego w gminie Międzyzdroje)</t>
  </si>
  <si>
    <t xml:space="preserve">rozliczenia z bankami związane z obługą </t>
  </si>
  <si>
    <t>długu publicznego</t>
  </si>
  <si>
    <t>szkoła nr 1(remont toalet)</t>
  </si>
  <si>
    <t>(kserokopiarka-szkoła nr 1)</t>
  </si>
  <si>
    <t>wydatki na zakupy inwestyc. jednostek budżet.</t>
  </si>
  <si>
    <t>eksperci egzaminacyjni</t>
  </si>
  <si>
    <t>projekt budowlany remontu boiska w Szkole nr 1</t>
  </si>
  <si>
    <t>zakup usług pozostałych (dofinansowanie</t>
  </si>
  <si>
    <t>pracodawcom kosztów przygotowania</t>
  </si>
  <si>
    <t>zawodowego młodocianych pracowników)</t>
  </si>
  <si>
    <t>budowa boiska sportowego-Gimnazjum</t>
  </si>
  <si>
    <t>projekt hali sportowej-Szkoła nr 1</t>
  </si>
  <si>
    <t>zakup usług pozostałych(badanie klatki</t>
  </si>
  <si>
    <t>piersiowej)</t>
  </si>
  <si>
    <t>"akcja zimowa-drogi gminne"</t>
  </si>
  <si>
    <t>zakup usług remontowych(konserw.oświetlenia)</t>
  </si>
  <si>
    <t>konserwacja oświetlenia(zobowiązanie 2006)</t>
  </si>
  <si>
    <t>dotacja dla ZOŚ-zakup samochodu śmieciarki</t>
  </si>
  <si>
    <t>i ładowarki</t>
  </si>
  <si>
    <t>dot.dla ZWiK- zakup agragatu pompowego</t>
  </si>
  <si>
    <t>do studni w ujęciu wody</t>
  </si>
  <si>
    <t>Festiwal Pieśni Chóralnej</t>
  </si>
  <si>
    <t>turniej sportowego tańca towarzyskiego</t>
  </si>
  <si>
    <t>wykonanie przyłączy do kontenerów-amfiteatr</t>
  </si>
  <si>
    <t>stypendia różne(stypendia sportowe)</t>
  </si>
  <si>
    <t>zakup usług remontowych(konserwacja</t>
  </si>
  <si>
    <t>do objaśnień</t>
  </si>
  <si>
    <t>Planowane wydatki na rok 2008 w porównaniu z przewidywanym wykonaniem roku 2007</t>
  </si>
  <si>
    <t>Plan po</t>
  </si>
  <si>
    <t xml:space="preserve">zmianach </t>
  </si>
  <si>
    <t>wykonanie</t>
  </si>
  <si>
    <t xml:space="preserve">Plan na </t>
  </si>
  <si>
    <t>rok 2008</t>
  </si>
  <si>
    <t>2008 r.</t>
  </si>
  <si>
    <t>planu</t>
  </si>
  <si>
    <t>wiadukt kolejowy</t>
  </si>
  <si>
    <t>remont  zejścia na plażę ul.Campingowa</t>
  </si>
  <si>
    <t>remont dróg na terenie sołectw</t>
  </si>
  <si>
    <t xml:space="preserve">remont ul.Rybackiej  i Mickiewicza </t>
  </si>
  <si>
    <t>przebudowa drogi-ul.Boh.Warsawy i Pr.Gwiazd</t>
  </si>
  <si>
    <t>budowa stałego zjazdu na plażę -ul.Cicha</t>
  </si>
  <si>
    <t>remont ul.Dobrej,parking i sanitariaty</t>
  </si>
  <si>
    <t>budowa zespołu ziel.parkingów…Komunalna</t>
  </si>
  <si>
    <t>budowa i przebudowa ul.Nowomyśliwskiej</t>
  </si>
  <si>
    <t>budowa drogi w ul.Komunalnej</t>
  </si>
  <si>
    <t>remont wiaduktu w m.Lubin</t>
  </si>
  <si>
    <t>projekt budowlany-remont drogi w ul.Wesołej</t>
  </si>
  <si>
    <t>projekt hali targowej-ul.Boh.Warszawy</t>
  </si>
  <si>
    <t>witacz w ciągu drogi wojewódzkiej nr 102</t>
  </si>
  <si>
    <t>kary i odszkodowania wypłacone na rzecz os.fiz.</t>
  </si>
  <si>
    <t>docieplenie budynku-ul.Ludowa 2 i infrastruktura</t>
  </si>
  <si>
    <t>zmiana studium uwarunkowań i kierunków ……</t>
  </si>
  <si>
    <t>za wykonaną pracę-rejon mola i M-je Zachód</t>
  </si>
  <si>
    <t>opracowanie projektu pn."Budowa infrastruk-</t>
  </si>
  <si>
    <t>i wykon.zadaszenia wejścia do Straży Miejskiej)</t>
  </si>
  <si>
    <t>50 000 zł ,łącze internetowe-290zł)</t>
  </si>
  <si>
    <t>(remont budynku Komendy Powiatowej Policji)</t>
  </si>
  <si>
    <t>wydatki na zakupy inwestycyjne jednostek budż.</t>
  </si>
  <si>
    <t>(zakup i montaż syren elektronicznych)</t>
  </si>
  <si>
    <t>dotacje celowe przekazane gminie na zadania…</t>
  </si>
  <si>
    <t>(dotacja dla m.Świnoujścia -100lecie OSP)</t>
  </si>
  <si>
    <t>dokumentacja techniczna-boisko gimnazjum)</t>
  </si>
  <si>
    <t>wymiana 15 okien w budynku głównym</t>
  </si>
  <si>
    <t>materiały-zadania własne</t>
  </si>
  <si>
    <t>materiały-zadania zlecone</t>
  </si>
  <si>
    <t>materiały - budżet gminy</t>
  </si>
  <si>
    <t>materiały - dotacja</t>
  </si>
  <si>
    <t>stypendium szkolne-pomoc socjalna</t>
  </si>
  <si>
    <t>podręczniki i stroje dla uczniów</t>
  </si>
  <si>
    <t>podręczniki i stroje dla uczniów-szkoła nr 1</t>
  </si>
  <si>
    <t>podręczniki i stroje dla uczniów-szkoła nr 2</t>
  </si>
  <si>
    <t>podręczniki i stroje dla uczniów-gimnazjum</t>
  </si>
  <si>
    <t>podręczniki-przedszkole</t>
  </si>
  <si>
    <t>selektywna zbiórka odpadów wtórnych</t>
  </si>
  <si>
    <t>budowa oświetl.w ul.Wodziczki i Nowomyśliwskiej</t>
  </si>
  <si>
    <t>dot.dla ZWiK -pompownia ścieków sanitarnych</t>
  </si>
  <si>
    <t xml:space="preserve">i wymiana przyłączy w ul.Dobrej </t>
  </si>
  <si>
    <t>dot.dla ZWiK- zawór stacji uzdatniania</t>
  </si>
  <si>
    <t>dotacje celowe z budzetu na finansowanie lub</t>
  </si>
  <si>
    <t>dofinansowanie kosztów realizacji inwestycji</t>
  </si>
  <si>
    <t>i zakupów inwestycyjnych innych jednostek</t>
  </si>
  <si>
    <t>niezaliczanych do sektora finansów publicznych</t>
  </si>
  <si>
    <t xml:space="preserve">i zakupów inwestycyjnych jednostek </t>
  </si>
  <si>
    <t>(przełożenie pokrycia dachowego-kościół</t>
  </si>
  <si>
    <t>w Lubinie)</t>
  </si>
  <si>
    <t xml:space="preserve">terenu amfiteatru,projekt budowlany na </t>
  </si>
  <si>
    <t xml:space="preserve">budowę amfiteatru wraz  z  zabudową </t>
  </si>
  <si>
    <t>towarzyszącą przy ul.Boh.Warszawy oraz zakup</t>
  </si>
  <si>
    <t>ławek jako pierwszego wyposażenia amfiteatru</t>
  </si>
  <si>
    <t>kawiarnia CHOPIN</t>
  </si>
  <si>
    <t>projekt budowlany budynku usługowego-</t>
  </si>
  <si>
    <t xml:space="preserve">inne </t>
  </si>
  <si>
    <t>szacowanie nieruch. na potrzeby renty planistycznej</t>
  </si>
  <si>
    <t>zakup komputerów,serwera i oprogr.serwera</t>
  </si>
  <si>
    <t>plan 20000 zł)</t>
  </si>
  <si>
    <t>wydatki na zakupy inwest.jedn.budżetowych</t>
  </si>
  <si>
    <t>Gimnazjum</t>
  </si>
  <si>
    <t>Stołówki szkolne</t>
  </si>
  <si>
    <t>(remont ogrodzenia-2007)</t>
  </si>
  <si>
    <t>różne zadania</t>
  </si>
  <si>
    <t>czyszczenie sieci kanalizacji deszczowej</t>
  </si>
  <si>
    <t>(dotacja z przeznaczeniem na remont dachu</t>
  </si>
  <si>
    <t>kościoła w Międzyzdrojach oraz na remont</t>
  </si>
  <si>
    <t>organów)</t>
  </si>
  <si>
    <t>dokumentacja na remont ul.Książąt Pomorskich</t>
  </si>
  <si>
    <t xml:space="preserve">dotacja dla ZGWW na uporządkowanie </t>
  </si>
  <si>
    <t>gospodarki wodno-ściekowej</t>
  </si>
  <si>
    <t>dotacja na dofinansowanie zadania inwest.</t>
  </si>
  <si>
    <t>Celowego Związku R-XXI</t>
  </si>
  <si>
    <t>dotacje celowe z budżetu na finansowanie lub</t>
  </si>
  <si>
    <t>sektora finansów publicznych</t>
  </si>
  <si>
    <t>kary i odszkodowania wypłacane na rzecz osób</t>
  </si>
  <si>
    <t>fizycznych(odpłatne przejęcie przez gminę</t>
  </si>
  <si>
    <t>sieci kanalizacyjnej dł.63 m w Wapnicy)</t>
  </si>
  <si>
    <t>odszkodow. za działkę przejętą pod drogę w Wicku</t>
  </si>
  <si>
    <t>dot.dla ZOŚ-zakup samochodu ciężarowego</t>
  </si>
  <si>
    <t>na 31.10.2007</t>
  </si>
  <si>
    <t>Wybory do Sejmu i Senatu</t>
  </si>
  <si>
    <t>budowa sieci wod.-kan.z przepompownią</t>
  </si>
  <si>
    <t>w ul. Wąskiej w Wicku</t>
  </si>
  <si>
    <t>opracowanie projektu budowlanego na budowę</t>
  </si>
  <si>
    <t>przepompowni wraz z przyłączami do kanalizacji</t>
  </si>
  <si>
    <t>tłocznej i grawitacyjnej w ul.Wodnej m.Lubin</t>
  </si>
  <si>
    <t>przygotowanie wniosku aplikacyjnego</t>
  </si>
  <si>
    <t>o dofinansowanie inwestycji pn."Uzbrojenie</t>
  </si>
  <si>
    <t>terenów inwestycyjnych w Międzyzdrojach"</t>
  </si>
  <si>
    <t>z Europejskiego Funduszu Rozwoju</t>
  </si>
  <si>
    <t>Regionalnego w ramach Regionalnego</t>
  </si>
  <si>
    <t>Programu Operacyjnego woj.zachodniopom.</t>
  </si>
  <si>
    <t>na lata 2007-2013</t>
  </si>
  <si>
    <t>remont Sali ślubów …</t>
  </si>
  <si>
    <t>opracowanie studium wykonalności projektu</t>
  </si>
  <si>
    <t>wraz z przygotowaniem wniosku o dofinans.</t>
  </si>
  <si>
    <t>inwestycji pn."Rozbudowa hali sportowej</t>
  </si>
  <si>
    <t>z zapleczem przy Szkole Podstawowej nr 1</t>
  </si>
  <si>
    <t>w Miedzyzdrojach oraz pełnienie funkcji</t>
  </si>
  <si>
    <t>hali sportowej przy Szkole Podstawowej nr 2</t>
  </si>
  <si>
    <t>boiska wielofunkcyjnego z nawierzchnią</t>
  </si>
  <si>
    <t xml:space="preserve">z trawy syntetycznej z wyposażeniem </t>
  </si>
  <si>
    <t xml:space="preserve">sportowym i ogrodzeniem przy Szkole </t>
  </si>
  <si>
    <t>Podstawowej nr 2 w Wapnicy</t>
  </si>
  <si>
    <t>telefoni stacjonarnej(szkoła nr 1)</t>
  </si>
  <si>
    <t>opracowanie projektu budowlanego na</t>
  </si>
  <si>
    <t>rozbudowę placu zabaw przy hotelu Amber</t>
  </si>
  <si>
    <t xml:space="preserve">adaptacja pomieszczenia na gabinet </t>
  </si>
  <si>
    <t>reedukatora</t>
  </si>
  <si>
    <t>zakup pomocy naukowych,dydaktycznych</t>
  </si>
  <si>
    <t>i książek (szkoła nr 2)</t>
  </si>
  <si>
    <t xml:space="preserve">(rezerwa celowa na pokrycie wydatków </t>
  </si>
  <si>
    <t>polegających na wniesieniu wkładów na poczet</t>
  </si>
  <si>
    <t>kapitału zakładowego planowanych do założenia</t>
  </si>
  <si>
    <t>trzech gminnych spółek z o.o.)</t>
  </si>
  <si>
    <t>celowa(realizacja zadań własnych</t>
  </si>
  <si>
    <t>z zakresu zarządzania kryzysowego)</t>
  </si>
  <si>
    <t xml:space="preserve">remont drogi w ul.Zdrojowej i Morskiej wraz </t>
  </si>
  <si>
    <t>z budową sieci kan.deszcz.isieci kabl.oświetl.dr.</t>
  </si>
  <si>
    <t>przebudowa ul.Orlej</t>
  </si>
  <si>
    <t>budowa stałego zjazdy na plażę przy hotelu</t>
  </si>
  <si>
    <t>Amber Baltic</t>
  </si>
  <si>
    <t>ścieżki rowerowe na terenie gminy wraz</t>
  </si>
  <si>
    <t>z wykonaniem oznakowania -projekt</t>
  </si>
  <si>
    <t xml:space="preserve">zagospodarowanie terenu wraz z remontem </t>
  </si>
  <si>
    <t>ciągów pieszych-Pl.Neptuna w Międzyzdrojach</t>
  </si>
  <si>
    <t>remont drogi w ul.Podgórnej w Wicku</t>
  </si>
  <si>
    <t xml:space="preserve">zagospodarownie terenu wraz z remontem </t>
  </si>
  <si>
    <t>ciągów pieszych-rondo ul.Zwycięstwa w M-jach</t>
  </si>
  <si>
    <t>budowa infrastruktury i wspólnej marki turystycznej-</t>
  </si>
  <si>
    <t>budowa przystani żeglarskiej w Wicku</t>
  </si>
  <si>
    <t>( urządzenie cmentarza w Międzyzdrojach)</t>
  </si>
  <si>
    <t>klimatyzacja Sali ślubów i pom.biurowych</t>
  </si>
  <si>
    <t>remont schodów oraz montaż drzwi wejściowych)</t>
  </si>
  <si>
    <t>remont budynku urzędu (ocieplenie i elewacja,</t>
  </si>
  <si>
    <t>oraz zakup programu do ewidencji dróg</t>
  </si>
  <si>
    <t>dla Stowarzysz.Osób Niepełnospr. "Radość")</t>
  </si>
  <si>
    <t>(przebud.bud. biur.-usług.przy ul.Zwycięstwa 50</t>
  </si>
  <si>
    <t>(zakup sprzętu hydraulicznego)</t>
  </si>
  <si>
    <t>rozbudowa remizy OSP)</t>
  </si>
  <si>
    <t>remontu boiska przy  Szkole nr 1</t>
  </si>
  <si>
    <t>hali sportowej oraz budowa hali sportowej</t>
  </si>
  <si>
    <t>przy Gimnazjum  w Międzyzdrojach</t>
  </si>
  <si>
    <t>głównego</t>
  </si>
  <si>
    <t>w budynku sali gimnastycznej</t>
  </si>
  <si>
    <t>urządzenie boiska górnego (bieżnia,skocznia</t>
  </si>
  <si>
    <t>bud.oświtlenia i wyk.monitorimgu)-gimnazjum</t>
  </si>
  <si>
    <t xml:space="preserve">adaptacja sali po kotłowni w budynku </t>
  </si>
  <si>
    <t>przedszkola oraz wymiana płyt chodnikowych</t>
  </si>
  <si>
    <t>na terenie przedszkola</t>
  </si>
  <si>
    <t>rekultywacja składowiska odpadów</t>
  </si>
  <si>
    <t>komunalnych w Międzyzdrojach</t>
  </si>
  <si>
    <t>Baltic wraz z realizacją</t>
  </si>
  <si>
    <t>zakup pompy typu Flugt 3171 180 LT 611</t>
  </si>
  <si>
    <t>nabycie nieruchomości na siedzibę ZOŚ</t>
  </si>
  <si>
    <t>dot.dla ZOŚ-zakup samochodu hakowo-</t>
  </si>
  <si>
    <t>kontenerowego do wywozu odpadów komunal.</t>
  </si>
  <si>
    <t xml:space="preserve">opracowanie koncepcji zagospodarowania </t>
  </si>
  <si>
    <t>budowa  Biblioteki Miejskiej</t>
  </si>
  <si>
    <t xml:space="preserve">budowa amfiteatru wraz  z  zapleczem </t>
  </si>
  <si>
    <t>amfiteatr - zabudowa towarzysząca</t>
  </si>
  <si>
    <t>budynku Wikliny w Wapnicy wraz z realizacją</t>
  </si>
  <si>
    <t>(przebudowa budynku położonego przy ul.Promenada</t>
  </si>
  <si>
    <t>sektora finansów publicznych (zakup sprzętu,</t>
  </si>
  <si>
    <t xml:space="preserve">nagłośnienie i oświetlanie sceny i sali </t>
  </si>
  <si>
    <t>teatralnej i inne)</t>
  </si>
  <si>
    <t>(zakup zeskoku do skoku o tyczce-stadion )</t>
  </si>
  <si>
    <t>wykonanie podjazdu i bramy garażowej OSP</t>
  </si>
  <si>
    <t xml:space="preserve">turystyki i promocji,itp.,realizacja współpracy </t>
  </si>
  <si>
    <t>z gminami partnerskimi i współpraca reginalna</t>
  </si>
  <si>
    <t>z Polski i z zagranicy -Niemcy-Ródental,Sellin,</t>
  </si>
  <si>
    <t xml:space="preserve">Szwecja-Lomma,Helsingborg oraz współpraca </t>
  </si>
  <si>
    <t>zagraniczna i realizacja programów UE w zakresie:</t>
  </si>
  <si>
    <t>promocji,turystyki,wymiany młodzieży itp..)</t>
  </si>
  <si>
    <t>dzierżawcę na nieruchom.przy ul.Dabrówki 13</t>
  </si>
  <si>
    <t>rozbudowa hali sportowej przy szkole nr 1, z tego</t>
  </si>
  <si>
    <t>Inżyniera Kontraktu" na kwotę 340 000 zł</t>
  </si>
  <si>
    <t>remonty komunalnych lokali mieszkalnych-MTBS</t>
  </si>
  <si>
    <t>lokali komunalnych za 2006 r./2007 r.</t>
  </si>
  <si>
    <t>odpisy na zakład.fundusz św.socjal.</t>
  </si>
  <si>
    <t>różne wydatki na rzecz osób fiz.(diety)</t>
  </si>
  <si>
    <t>różne wydatki na rzecz osób fizyczn.</t>
  </si>
  <si>
    <t>składki na ubezpieczenie społeczne</t>
  </si>
  <si>
    <t>koszty postępowania sądowego i prokuratorsk.</t>
  </si>
  <si>
    <t>odpisy na zakładowy fundusz świadczeń socj.</t>
  </si>
  <si>
    <t>program antywirusowy</t>
  </si>
  <si>
    <t>wynagrodzenia agencyjno-prowizyjne</t>
  </si>
  <si>
    <t>odpisy na zakładowy fundusz świadczeń socjal.</t>
  </si>
  <si>
    <t>odpisy na zakładowy fundusz świdczeń socjal.</t>
  </si>
  <si>
    <t>odpisy na zakładadowy fundusz świadcz.socjal.</t>
  </si>
  <si>
    <t>(dofinansowanie opieki nad dziećmi)-realizacja</t>
  </si>
  <si>
    <t>w ramach programu profilaktyki i rozwiązywania</t>
  </si>
  <si>
    <t>problemów alkoholowych</t>
  </si>
  <si>
    <t xml:space="preserve">zakup materiałów papierniczych do sprzętu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</si>
</sst>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1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sz val="9"/>
      <name val="Arial CE"/>
      <family val="0"/>
    </font>
    <font>
      <sz val="11"/>
      <name val="Arial CE"/>
      <family val="0"/>
    </font>
    <font>
      <b/>
      <i/>
      <sz val="11"/>
      <name val="Arial CE"/>
      <family val="0"/>
    </font>
    <font>
      <b/>
      <i/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0"/>
    </font>
    <font>
      <b/>
      <i/>
      <sz val="8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Continuous"/>
    </xf>
    <xf numFmtId="0" fontId="3" fillId="0" borderId="2" xfId="0" applyFont="1" applyBorder="1" applyAlignment="1">
      <alignment horizontal="center"/>
    </xf>
    <xf numFmtId="1" fontId="0" fillId="0" borderId="2" xfId="0" applyNumberFormat="1" applyBorder="1" applyAlignment="1">
      <alignment horizontal="right"/>
    </xf>
    <xf numFmtId="17" fontId="0" fillId="0" borderId="2" xfId="0" applyNumberForma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 horizontal="centerContinuous"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4" fontId="1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0" fontId="0" fillId="0" borderId="0" xfId="0" applyFont="1" applyAlignment="1">
      <alignment/>
    </xf>
    <xf numFmtId="4" fontId="6" fillId="0" borderId="0" xfId="0" applyNumberFormat="1" applyFont="1" applyAlignment="1">
      <alignment/>
    </xf>
    <xf numFmtId="4" fontId="0" fillId="0" borderId="0" xfId="0" applyNumberFormat="1" applyFont="1" applyAlignment="1">
      <alignment horizontal="centerContinuous"/>
    </xf>
    <xf numFmtId="4" fontId="0" fillId="0" borderId="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5" fillId="0" borderId="2" xfId="0" applyFont="1" applyBorder="1" applyAlignment="1">
      <alignment/>
    </xf>
    <xf numFmtId="0" fontId="7" fillId="0" borderId="0" xfId="0" applyFont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Border="1" applyAlignment="1">
      <alignment horizontal="right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4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4" fontId="8" fillId="0" borderId="2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1" fillId="0" borderId="0" xfId="0" applyFont="1" applyAlignment="1">
      <alignment/>
    </xf>
    <xf numFmtId="3" fontId="1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2" xfId="0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/>
    </xf>
    <xf numFmtId="0" fontId="9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9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right"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" xfId="0" applyFont="1" applyFill="1" applyBorder="1" applyAlignment="1">
      <alignment horizontal="right"/>
    </xf>
    <xf numFmtId="3" fontId="0" fillId="0" borderId="4" xfId="0" applyNumberFormat="1" applyBorder="1" applyAlignment="1">
      <alignment/>
    </xf>
    <xf numFmtId="3" fontId="0" fillId="0" borderId="4" xfId="0" applyNumberFormat="1" applyFont="1" applyFill="1" applyBorder="1" applyAlignment="1">
      <alignment/>
    </xf>
    <xf numFmtId="1" fontId="0" fillId="0" borderId="6" xfId="0" applyNumberFormat="1" applyFont="1" applyBorder="1" applyAlignment="1">
      <alignment/>
    </xf>
    <xf numFmtId="0" fontId="0" fillId="0" borderId="2" xfId="0" applyFont="1" applyFill="1" applyBorder="1" applyAlignment="1">
      <alignment horizontal="left"/>
    </xf>
    <xf numFmtId="1" fontId="0" fillId="0" borderId="7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2" xfId="0" applyFont="1" applyBorder="1" applyAlignment="1">
      <alignment/>
    </xf>
    <xf numFmtId="0" fontId="10" fillId="0" borderId="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5" fillId="0" borderId="1" xfId="0" applyFont="1" applyBorder="1" applyAlignment="1">
      <alignment/>
    </xf>
    <xf numFmtId="1" fontId="5" fillId="0" borderId="2" xfId="0" applyNumberFormat="1" applyFont="1" applyBorder="1" applyAlignment="1">
      <alignment/>
    </xf>
    <xf numFmtId="1" fontId="5" fillId="0" borderId="3" xfId="0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9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5" fillId="0" borderId="3" xfId="0" applyFont="1" applyBorder="1" applyAlignment="1">
      <alignment/>
    </xf>
    <xf numFmtId="0" fontId="10" fillId="0" borderId="2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3" fontId="2" fillId="0" borderId="4" xfId="0" applyNumberFormat="1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1" fillId="0" borderId="8" xfId="0" applyFont="1" applyBorder="1" applyAlignment="1">
      <alignment/>
    </xf>
    <xf numFmtId="0" fontId="9" fillId="0" borderId="9" xfId="0" applyFont="1" applyBorder="1" applyAlignment="1">
      <alignment/>
    </xf>
    <xf numFmtId="4" fontId="1" fillId="0" borderId="8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0" fontId="3" fillId="0" borderId="2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right"/>
    </xf>
    <xf numFmtId="4" fontId="0" fillId="0" borderId="4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5" fillId="0" borderId="5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0" fillId="0" borderId="7" xfId="0" applyNumberFormat="1" applyBorder="1" applyAlignment="1">
      <alignment/>
    </xf>
    <xf numFmtId="4" fontId="0" fillId="0" borderId="4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4" fontId="0" fillId="0" borderId="2" xfId="0" applyNumberFormat="1" applyFont="1" applyFill="1" applyBorder="1" applyAlignment="1">
      <alignment/>
    </xf>
    <xf numFmtId="4" fontId="0" fillId="0" borderId="4" xfId="0" applyNumberFormat="1" applyBorder="1" applyAlignment="1">
      <alignment/>
    </xf>
    <xf numFmtId="4" fontId="1" fillId="0" borderId="4" xfId="0" applyNumberFormat="1" applyFont="1" applyBorder="1" applyAlignment="1">
      <alignment/>
    </xf>
    <xf numFmtId="4" fontId="0" fillId="0" borderId="4" xfId="0" applyNumberFormat="1" applyFont="1" applyFill="1" applyBorder="1" applyAlignment="1">
      <alignment/>
    </xf>
    <xf numFmtId="4" fontId="3" fillId="0" borderId="4" xfId="0" applyNumberFormat="1" applyFont="1" applyBorder="1" applyAlignment="1">
      <alignment/>
    </xf>
    <xf numFmtId="4" fontId="4" fillId="0" borderId="4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0" fontId="10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3" fontId="3" fillId="0" borderId="4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NumberForma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0" fillId="0" borderId="1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1" fillId="0" borderId="7" xfId="0" applyFont="1" applyBorder="1" applyAlignment="1">
      <alignment/>
    </xf>
    <xf numFmtId="0" fontId="10" fillId="0" borderId="11" xfId="0" applyFont="1" applyBorder="1" applyAlignment="1">
      <alignment/>
    </xf>
    <xf numFmtId="0" fontId="11" fillId="0" borderId="1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2" xfId="0" applyFont="1" applyFill="1" applyBorder="1" applyAlignment="1">
      <alignment/>
    </xf>
    <xf numFmtId="4" fontId="1" fillId="0" borderId="2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10" fillId="0" borderId="0" xfId="0" applyFont="1" applyAlignment="1">
      <alignment/>
    </xf>
    <xf numFmtId="4" fontId="0" fillId="0" borderId="4" xfId="0" applyNumberFormat="1" applyFont="1" applyFill="1" applyBorder="1" applyAlignment="1">
      <alignment/>
    </xf>
    <xf numFmtId="1" fontId="5" fillId="0" borderId="11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0" fontId="3" fillId="0" borderId="2" xfId="0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9" fontId="10" fillId="0" borderId="0" xfId="0" applyNumberFormat="1" applyFont="1" applyAlignment="1">
      <alignment/>
    </xf>
    <xf numFmtId="9" fontId="10" fillId="0" borderId="0" xfId="0" applyNumberFormat="1" applyFont="1" applyAlignment="1">
      <alignment horizontal="centerContinuous"/>
    </xf>
    <xf numFmtId="9" fontId="10" fillId="0" borderId="1" xfId="0" applyNumberFormat="1" applyFont="1" applyBorder="1" applyAlignment="1">
      <alignment/>
    </xf>
    <xf numFmtId="9" fontId="10" fillId="0" borderId="4" xfId="0" applyNumberFormat="1" applyFont="1" applyBorder="1" applyAlignment="1">
      <alignment/>
    </xf>
    <xf numFmtId="9" fontId="10" fillId="0" borderId="10" xfId="0" applyNumberFormat="1" applyFont="1" applyBorder="1" applyAlignment="1">
      <alignment/>
    </xf>
    <xf numFmtId="9" fontId="10" fillId="0" borderId="5" xfId="0" applyNumberFormat="1" applyFont="1" applyBorder="1" applyAlignment="1">
      <alignment/>
    </xf>
    <xf numFmtId="1" fontId="10" fillId="0" borderId="5" xfId="0" applyNumberFormat="1" applyFont="1" applyBorder="1" applyAlignment="1">
      <alignment horizontal="center"/>
    </xf>
    <xf numFmtId="9" fontId="10" fillId="0" borderId="3" xfId="0" applyNumberFormat="1" applyFont="1" applyBorder="1" applyAlignment="1">
      <alignment/>
    </xf>
    <xf numFmtId="9" fontId="10" fillId="0" borderId="2" xfId="0" applyNumberFormat="1" applyFont="1" applyBorder="1" applyAlignment="1">
      <alignment/>
    </xf>
    <xf numFmtId="9" fontId="10" fillId="0" borderId="0" xfId="0" applyNumberFormat="1" applyFont="1" applyBorder="1" applyAlignment="1">
      <alignment/>
    </xf>
    <xf numFmtId="9" fontId="10" fillId="0" borderId="12" xfId="0" applyNumberFormat="1" applyFont="1" applyBorder="1" applyAlignment="1">
      <alignment/>
    </xf>
    <xf numFmtId="0" fontId="0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4" fontId="2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4" fontId="0" fillId="0" borderId="4" xfId="0" applyNumberFormat="1" applyFont="1" applyBorder="1" applyAlignment="1">
      <alignment/>
    </xf>
    <xf numFmtId="9" fontId="12" fillId="0" borderId="4" xfId="0" applyNumberFormat="1" applyFont="1" applyBorder="1" applyAlignment="1">
      <alignment/>
    </xf>
    <xf numFmtId="9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9" fontId="11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Arkusz1!#REF!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Arkusz1!#REF!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Arkusz1!$E$909</c:f>
              <c:strCache>
                <c:ptCount val="1"/>
                <c:pt idx="0">
                  <c:v>5 000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Arkusz1!$F$909:$J$909</c:f>
              <c:numCache>
                <c:ptCount val="5"/>
                <c:pt idx="0">
                  <c:v>14000</c:v>
                </c:pt>
                <c:pt idx="1">
                  <c:v>14000</c:v>
                </c:pt>
                <c:pt idx="2">
                  <c:v>29800</c:v>
                </c:pt>
                <c:pt idx="3">
                  <c:v>2.1285714285714286</c:v>
                </c:pt>
                <c:pt idx="4">
                  <c:v>0.0006477196919566864</c:v>
                </c:pt>
              </c:numCache>
            </c:numRef>
          </c:val>
        </c:ser>
        <c:ser>
          <c:idx val="4"/>
          <c:order val="4"/>
          <c:tx>
            <c:strRef>
              <c:f>Arkusz1!$E$910</c:f>
              <c:strCache>
                <c:ptCount val="1"/>
                <c:pt idx="0">
                  <c:v>3 000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Arkusz1!$F$910:$J$910</c:f>
              <c:numCache>
                <c:ptCount val="5"/>
                <c:pt idx="0">
                  <c:v>13000</c:v>
                </c:pt>
                <c:pt idx="1">
                  <c:v>13000</c:v>
                </c:pt>
                <c:pt idx="2">
                  <c:v>7000</c:v>
                </c:pt>
                <c:pt idx="3">
                  <c:v>0.5384615384615384</c:v>
                </c:pt>
                <c:pt idx="4">
                  <c:v>0.00015214892092942298</c:v>
                </c:pt>
              </c:numCache>
            </c:numRef>
          </c:val>
        </c:ser>
        <c:ser>
          <c:idx val="5"/>
          <c:order val="5"/>
          <c:tx>
            <c:strRef>
              <c:f>Arkusz1!$E$911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Arkusz1!$F$911:$J$911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</c:numCache>
            </c:numRef>
          </c:val>
        </c:ser>
        <c:axId val="4084506"/>
        <c:axId val="36760555"/>
      </c:barChart>
      <c:catAx>
        <c:axId val="4084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60555"/>
        <c:crosses val="autoZero"/>
        <c:auto val="1"/>
        <c:lblOffset val="100"/>
        <c:noMultiLvlLbl val="0"/>
      </c:catAx>
      <c:valAx>
        <c:axId val="367605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45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6"/>
  <sheetViews>
    <sheetView tabSelected="1" workbookViewId="0" topLeftCell="A1329">
      <selection activeCell="A1376" sqref="A1376"/>
    </sheetView>
  </sheetViews>
  <sheetFormatPr defaultColWidth="9.00390625" defaultRowHeight="12.75"/>
  <cols>
    <col min="1" max="1" width="4.25390625" style="166" customWidth="1"/>
    <col min="2" max="2" width="6.375" style="0" customWidth="1"/>
    <col min="3" max="3" width="37.375" style="104" customWidth="1"/>
    <col min="4" max="4" width="12.00390625" style="27" hidden="1" customWidth="1"/>
    <col min="5" max="5" width="10.75390625" style="36" hidden="1" customWidth="1"/>
    <col min="6" max="7" width="12.875" style="36" customWidth="1"/>
    <col min="8" max="8" width="14.625" style="36" customWidth="1"/>
    <col min="9" max="9" width="6.25390625" style="200" customWidth="1"/>
    <col min="10" max="10" width="6.375" style="200" customWidth="1"/>
    <col min="12" max="12" width="12.75390625" style="0" bestFit="1" customWidth="1"/>
  </cols>
  <sheetData>
    <row r="1" ht="12.75">
      <c r="F1" s="36" t="s">
        <v>398</v>
      </c>
    </row>
    <row r="2" ht="12.75">
      <c r="F2" s="36" t="s">
        <v>481</v>
      </c>
    </row>
    <row r="5" spans="1:8" ht="15">
      <c r="A5" s="165"/>
      <c r="B5" s="2" t="s">
        <v>482</v>
      </c>
      <c r="C5" s="107"/>
      <c r="D5" s="20"/>
      <c r="E5" s="33"/>
      <c r="F5" s="33"/>
      <c r="G5" s="33"/>
      <c r="H5" s="33"/>
    </row>
    <row r="6" spans="1:9" ht="12.75">
      <c r="A6" s="167"/>
      <c r="B6" s="39" t="s">
        <v>0</v>
      </c>
      <c r="C6" s="108"/>
      <c r="D6" s="21"/>
      <c r="E6" s="34"/>
      <c r="F6" s="34"/>
      <c r="G6" s="34"/>
      <c r="H6" s="34"/>
      <c r="I6" s="201"/>
    </row>
    <row r="7" spans="1:10" ht="12.75">
      <c r="A7" s="168"/>
      <c r="B7" s="3"/>
      <c r="C7" s="109"/>
      <c r="D7" s="22"/>
      <c r="E7" s="35"/>
      <c r="F7" s="35"/>
      <c r="G7" s="147"/>
      <c r="H7" s="35"/>
      <c r="I7" s="202"/>
      <c r="J7" s="202"/>
    </row>
    <row r="8" spans="1:10" ht="14.25" customHeight="1">
      <c r="A8" s="158"/>
      <c r="B8" s="4" t="s">
        <v>399</v>
      </c>
      <c r="C8" s="110"/>
      <c r="D8" s="30" t="s">
        <v>1</v>
      </c>
      <c r="E8" s="100" t="s">
        <v>162</v>
      </c>
      <c r="F8" s="147" t="s">
        <v>483</v>
      </c>
      <c r="G8" s="139" t="s">
        <v>1</v>
      </c>
      <c r="H8" s="138" t="s">
        <v>486</v>
      </c>
      <c r="I8" s="203" t="s">
        <v>2</v>
      </c>
      <c r="J8" s="204" t="s">
        <v>3</v>
      </c>
    </row>
    <row r="9" spans="1:10" ht="12.75">
      <c r="A9" s="158" t="s">
        <v>4</v>
      </c>
      <c r="B9" s="40" t="s">
        <v>400</v>
      </c>
      <c r="C9" s="110" t="s">
        <v>5</v>
      </c>
      <c r="D9" s="30" t="s">
        <v>6</v>
      </c>
      <c r="E9" s="102" t="s">
        <v>163</v>
      </c>
      <c r="F9" s="28" t="s">
        <v>484</v>
      </c>
      <c r="G9" s="28" t="s">
        <v>485</v>
      </c>
      <c r="H9" s="138" t="s">
        <v>487</v>
      </c>
      <c r="I9" s="203" t="s">
        <v>192</v>
      </c>
      <c r="J9" s="203" t="s">
        <v>489</v>
      </c>
    </row>
    <row r="10" spans="1:10" ht="12.75">
      <c r="A10" s="169"/>
      <c r="B10" s="5" t="s">
        <v>401</v>
      </c>
      <c r="C10" s="111"/>
      <c r="D10" s="31" t="s">
        <v>7</v>
      </c>
      <c r="E10" s="193" t="s">
        <v>164</v>
      </c>
      <c r="F10" s="195" t="s">
        <v>571</v>
      </c>
      <c r="G10" s="195" t="s">
        <v>296</v>
      </c>
      <c r="H10" s="140"/>
      <c r="I10" s="205" t="s">
        <v>165</v>
      </c>
      <c r="J10" s="205" t="s">
        <v>488</v>
      </c>
    </row>
    <row r="11" spans="1:10" ht="12.75">
      <c r="A11" s="170">
        <v>1</v>
      </c>
      <c r="B11" s="54">
        <v>2</v>
      </c>
      <c r="C11" s="112">
        <v>3</v>
      </c>
      <c r="D11" s="54"/>
      <c r="E11" s="54">
        <v>4</v>
      </c>
      <c r="F11" s="164">
        <v>4</v>
      </c>
      <c r="G11" s="164">
        <v>5</v>
      </c>
      <c r="H11" s="164">
        <v>6</v>
      </c>
      <c r="I11" s="206">
        <v>7</v>
      </c>
      <c r="J11" s="206">
        <v>8</v>
      </c>
    </row>
    <row r="12" spans="1:10" ht="12.75">
      <c r="A12" s="158">
        <v>1</v>
      </c>
      <c r="B12" s="8" t="s">
        <v>93</v>
      </c>
      <c r="C12" s="78" t="s">
        <v>96</v>
      </c>
      <c r="D12" s="25">
        <f>D67</f>
        <v>0</v>
      </c>
      <c r="E12" s="42" t="e">
        <f>E67</f>
        <v>#REF!</v>
      </c>
      <c r="F12" s="25">
        <f>F67</f>
        <v>169800</v>
      </c>
      <c r="G12" s="25">
        <f>G67</f>
        <v>14160</v>
      </c>
      <c r="H12" s="25">
        <f>H67</f>
        <v>142200</v>
      </c>
      <c r="I12" s="203">
        <f>H12/G12</f>
        <v>10.042372881355933</v>
      </c>
      <c r="J12" s="203">
        <f>H12/$H$54</f>
        <v>0.0030932843187713457</v>
      </c>
    </row>
    <row r="13" spans="1:10" ht="12.75">
      <c r="A13" s="158"/>
      <c r="B13" s="92"/>
      <c r="C13" s="79"/>
      <c r="D13" s="23"/>
      <c r="E13" s="42"/>
      <c r="F13" s="141"/>
      <c r="G13" s="141"/>
      <c r="H13" s="141"/>
      <c r="I13" s="203"/>
      <c r="J13" s="203"/>
    </row>
    <row r="14" spans="1:10" ht="12.75">
      <c r="A14" s="158">
        <v>2</v>
      </c>
      <c r="B14" s="124">
        <v>600</v>
      </c>
      <c r="C14" s="78" t="s">
        <v>95</v>
      </c>
      <c r="D14" s="25">
        <f>D80</f>
        <v>0</v>
      </c>
      <c r="E14" s="42" t="e">
        <f>E80</f>
        <v>#REF!</v>
      </c>
      <c r="F14" s="25">
        <f>F80</f>
        <v>2827317</v>
      </c>
      <c r="G14" s="25">
        <f>G80</f>
        <v>2475149.66</v>
      </c>
      <c r="H14" s="25">
        <f>H80</f>
        <v>7684518</v>
      </c>
      <c r="I14" s="203">
        <f>H14/G14</f>
        <v>3.104668022377281</v>
      </c>
      <c r="J14" s="203">
        <f>H14/$H$54</f>
        <v>0.16716173717803195</v>
      </c>
    </row>
    <row r="15" spans="1:10" ht="15">
      <c r="A15" s="158"/>
      <c r="B15" s="93"/>
      <c r="C15" s="78"/>
      <c r="D15" s="25"/>
      <c r="E15" s="42"/>
      <c r="F15" s="141"/>
      <c r="G15" s="141"/>
      <c r="H15" s="141"/>
      <c r="I15" s="203"/>
      <c r="J15" s="203"/>
    </row>
    <row r="16" spans="1:10" ht="12.75">
      <c r="A16" s="158">
        <v>3</v>
      </c>
      <c r="B16" s="61">
        <v>630</v>
      </c>
      <c r="C16" s="78" t="s">
        <v>127</v>
      </c>
      <c r="D16" s="23"/>
      <c r="E16" s="42" t="e">
        <f>E164</f>
        <v>#REF!</v>
      </c>
      <c r="F16" s="25">
        <f>F164</f>
        <v>284683</v>
      </c>
      <c r="G16" s="25">
        <f>G164</f>
        <v>283203.61</v>
      </c>
      <c r="H16" s="25">
        <f>H164</f>
        <v>650000</v>
      </c>
      <c r="I16" s="203">
        <f>H16/G16</f>
        <v>2.2951684831983603</v>
      </c>
      <c r="J16" s="203">
        <f>H16/$H$54</f>
        <v>0.01413948528271009</v>
      </c>
    </row>
    <row r="17" spans="1:10" ht="12.75">
      <c r="A17" s="158"/>
      <c r="B17" s="61"/>
      <c r="C17" s="78"/>
      <c r="D17" s="23"/>
      <c r="E17" s="42"/>
      <c r="F17" s="141"/>
      <c r="G17" s="141"/>
      <c r="H17" s="141"/>
      <c r="I17" s="203"/>
      <c r="J17" s="203"/>
    </row>
    <row r="18" spans="1:10" ht="12.75">
      <c r="A18" s="158">
        <v>4</v>
      </c>
      <c r="B18" s="61">
        <v>700</v>
      </c>
      <c r="C18" s="78" t="s">
        <v>98</v>
      </c>
      <c r="D18" s="25">
        <f>SUM(D172)</f>
        <v>0</v>
      </c>
      <c r="E18" s="42" t="e">
        <f>E172</f>
        <v>#REF!</v>
      </c>
      <c r="F18" s="25">
        <f>F172</f>
        <v>8498830</v>
      </c>
      <c r="G18" s="25">
        <f>G172</f>
        <v>8079656.1</v>
      </c>
      <c r="H18" s="25">
        <f>H172</f>
        <v>1687286</v>
      </c>
      <c r="I18" s="203">
        <f>H18/G18</f>
        <v>0.20883141301026414</v>
      </c>
      <c r="J18" s="203">
        <f>H18/$H$54</f>
        <v>0.03670362394572735</v>
      </c>
    </row>
    <row r="19" spans="1:10" ht="12.75">
      <c r="A19" s="158"/>
      <c r="B19" s="92"/>
      <c r="C19" s="79"/>
      <c r="D19" s="23"/>
      <c r="E19" s="42"/>
      <c r="F19" s="141"/>
      <c r="G19" s="141"/>
      <c r="H19" s="141"/>
      <c r="I19" s="203"/>
      <c r="J19" s="203"/>
    </row>
    <row r="20" spans="1:10" ht="12.75">
      <c r="A20" s="158">
        <v>5</v>
      </c>
      <c r="B20" s="61">
        <v>710</v>
      </c>
      <c r="C20" s="78" t="s">
        <v>100</v>
      </c>
      <c r="D20" s="25"/>
      <c r="E20" s="42" t="e">
        <f>E220</f>
        <v>#REF!</v>
      </c>
      <c r="F20" s="25">
        <f>F220</f>
        <v>635890</v>
      </c>
      <c r="G20" s="25">
        <f>G220</f>
        <v>274554.93</v>
      </c>
      <c r="H20" s="25">
        <f>H220</f>
        <v>762500</v>
      </c>
      <c r="I20" s="203">
        <f>H20/G20</f>
        <v>2.7772220298502743</v>
      </c>
      <c r="J20" s="203">
        <f>H20/$H$54</f>
        <v>0.01658670388933299</v>
      </c>
    </row>
    <row r="21" spans="1:10" ht="12.75">
      <c r="A21" s="158"/>
      <c r="B21" s="92"/>
      <c r="C21" s="78"/>
      <c r="D21" s="25" t="e">
        <f>SUM(#REF!)</f>
        <v>#REF!</v>
      </c>
      <c r="E21" s="42"/>
      <c r="F21" s="141"/>
      <c r="G21" s="141"/>
      <c r="H21" s="141"/>
      <c r="I21" s="203"/>
      <c r="J21" s="203"/>
    </row>
    <row r="22" spans="1:10" ht="12.75">
      <c r="A22" s="158">
        <v>6</v>
      </c>
      <c r="B22" s="61">
        <v>750</v>
      </c>
      <c r="C22" s="78" t="s">
        <v>102</v>
      </c>
      <c r="D22" s="23"/>
      <c r="E22" s="42" t="e">
        <f>E251</f>
        <v>#REF!</v>
      </c>
      <c r="F22" s="25">
        <f>F251</f>
        <v>4961581</v>
      </c>
      <c r="G22" s="25">
        <f>G251</f>
        <v>4844559.71</v>
      </c>
      <c r="H22" s="25">
        <f>H251</f>
        <v>5473179.65</v>
      </c>
      <c r="I22" s="203">
        <f>H22/G22</f>
        <v>1.1297579094138155</v>
      </c>
      <c r="J22" s="203">
        <f>H22/$H$54</f>
        <v>0.11905837401662056</v>
      </c>
    </row>
    <row r="23" spans="1:10" ht="12.75">
      <c r="A23" s="158"/>
      <c r="B23" s="92"/>
      <c r="C23" s="78"/>
      <c r="D23" s="25">
        <f>SUM(D565)</f>
        <v>0</v>
      </c>
      <c r="E23" s="42"/>
      <c r="F23" s="141"/>
      <c r="G23" s="141"/>
      <c r="H23" s="141"/>
      <c r="I23" s="203"/>
      <c r="J23" s="203"/>
    </row>
    <row r="24" spans="1:10" ht="12.75">
      <c r="A24" s="158">
        <v>7</v>
      </c>
      <c r="B24" s="94">
        <v>751</v>
      </c>
      <c r="C24" s="80" t="s">
        <v>128</v>
      </c>
      <c r="D24" s="23"/>
      <c r="E24" s="42"/>
      <c r="F24" s="141"/>
      <c r="G24" s="141"/>
      <c r="H24" s="141"/>
      <c r="I24" s="203"/>
      <c r="J24" s="203"/>
    </row>
    <row r="25" spans="1:10" ht="12.75">
      <c r="A25" s="158"/>
      <c r="B25" s="94"/>
      <c r="C25" s="80" t="s">
        <v>129</v>
      </c>
      <c r="D25" s="25" t="e">
        <f>SUM(#REF!)</f>
        <v>#REF!</v>
      </c>
      <c r="E25" s="42"/>
      <c r="F25" s="141"/>
      <c r="G25" s="141"/>
      <c r="H25" s="141"/>
      <c r="I25" s="203"/>
      <c r="J25" s="203"/>
    </row>
    <row r="26" spans="1:10" ht="12.75">
      <c r="A26" s="158"/>
      <c r="B26" s="94"/>
      <c r="C26" s="80" t="s">
        <v>130</v>
      </c>
      <c r="D26" s="23"/>
      <c r="E26" s="42" t="e">
        <f>E452</f>
        <v>#REF!</v>
      </c>
      <c r="F26" s="25">
        <f>F452</f>
        <v>10123.999999999998</v>
      </c>
      <c r="G26" s="25">
        <f>G452</f>
        <v>10123.999999999998</v>
      </c>
      <c r="H26" s="25">
        <f>H452</f>
        <v>1140</v>
      </c>
      <c r="I26" s="203">
        <f>H26/G26</f>
        <v>0.11260371394705652</v>
      </c>
      <c r="J26" s="203">
        <f>H26/$H$54</f>
        <v>2.4798481880445386E-05</v>
      </c>
    </row>
    <row r="27" spans="1:10" ht="12.75">
      <c r="A27" s="158"/>
      <c r="B27" s="92"/>
      <c r="C27" s="78"/>
      <c r="D27" s="25" t="e">
        <f>SUM(#REF!)</f>
        <v>#REF!</v>
      </c>
      <c r="E27" s="42"/>
      <c r="F27" s="141"/>
      <c r="G27" s="141"/>
      <c r="H27" s="141"/>
      <c r="I27" s="203"/>
      <c r="J27" s="203"/>
    </row>
    <row r="28" spans="1:10" ht="12.75">
      <c r="A28" s="158">
        <v>8</v>
      </c>
      <c r="B28" s="61">
        <v>752</v>
      </c>
      <c r="C28" s="78" t="s">
        <v>239</v>
      </c>
      <c r="D28" s="25"/>
      <c r="E28" s="42"/>
      <c r="F28" s="141">
        <v>0</v>
      </c>
      <c r="G28" s="141">
        <v>0</v>
      </c>
      <c r="H28" s="141">
        <f>H462</f>
        <v>0</v>
      </c>
      <c r="I28" s="203"/>
      <c r="J28" s="203">
        <f>H28/$H$54</f>
        <v>0</v>
      </c>
    </row>
    <row r="29" spans="1:10" ht="12.75">
      <c r="A29" s="158"/>
      <c r="B29" s="92"/>
      <c r="C29" s="78"/>
      <c r="D29" s="25"/>
      <c r="E29" s="42"/>
      <c r="F29" s="141"/>
      <c r="G29" s="141"/>
      <c r="H29" s="141"/>
      <c r="I29" s="203"/>
      <c r="J29" s="203"/>
    </row>
    <row r="30" spans="1:10" ht="12.75">
      <c r="A30" s="158">
        <v>9</v>
      </c>
      <c r="B30" s="94">
        <v>754</v>
      </c>
      <c r="C30" s="80" t="s">
        <v>105</v>
      </c>
      <c r="D30" s="23"/>
      <c r="E30" s="42"/>
      <c r="F30" s="141"/>
      <c r="G30" s="141"/>
      <c r="H30" s="141"/>
      <c r="I30" s="203"/>
      <c r="J30" s="203"/>
    </row>
    <row r="31" spans="1:10" ht="12.75">
      <c r="A31" s="158"/>
      <c r="B31" s="94"/>
      <c r="C31" s="80" t="s">
        <v>106</v>
      </c>
      <c r="D31" s="25" t="e">
        <f>SUM(#REF!)</f>
        <v>#REF!</v>
      </c>
      <c r="E31" s="42" t="e">
        <f>E471</f>
        <v>#REF!</v>
      </c>
      <c r="F31" s="25">
        <f>F471</f>
        <v>744973</v>
      </c>
      <c r="G31" s="25">
        <f>G471</f>
        <v>691208.65</v>
      </c>
      <c r="H31" s="25">
        <f>H471</f>
        <v>996650</v>
      </c>
      <c r="I31" s="203">
        <f>H31/G31</f>
        <v>1.4418945711978575</v>
      </c>
      <c r="J31" s="203">
        <f>H31/$H$54</f>
        <v>0.021680181549250787</v>
      </c>
    </row>
    <row r="32" spans="1:10" ht="12.75">
      <c r="A32" s="158"/>
      <c r="B32" s="92"/>
      <c r="C32" s="79"/>
      <c r="D32" s="23"/>
      <c r="E32" s="42"/>
      <c r="F32" s="141"/>
      <c r="G32" s="141"/>
      <c r="H32" s="141"/>
      <c r="I32" s="203"/>
      <c r="J32" s="203"/>
    </row>
    <row r="33" spans="1:10" ht="12.75">
      <c r="A33" s="158">
        <v>10</v>
      </c>
      <c r="B33" s="94">
        <v>757</v>
      </c>
      <c r="C33" s="80" t="s">
        <v>108</v>
      </c>
      <c r="D33" s="25" t="e">
        <f>#REF!</f>
        <v>#REF!</v>
      </c>
      <c r="E33" s="42" t="e">
        <f>E543</f>
        <v>#REF!</v>
      </c>
      <c r="F33" s="25">
        <f>F543</f>
        <v>251968.34</v>
      </c>
      <c r="G33" s="25">
        <f>G543</f>
        <v>215556.98</v>
      </c>
      <c r="H33" s="25">
        <f>H543</f>
        <v>238000</v>
      </c>
      <c r="I33" s="203">
        <f>H33/G33</f>
        <v>1.1041164150657519</v>
      </c>
      <c r="J33" s="203">
        <f>H33/$H$54</f>
        <v>0.005177226918900002</v>
      </c>
    </row>
    <row r="34" spans="1:10" ht="12.75">
      <c r="A34" s="158"/>
      <c r="B34" s="92"/>
      <c r="C34" s="79"/>
      <c r="D34" s="23"/>
      <c r="E34" s="42"/>
      <c r="F34" s="141"/>
      <c r="G34" s="141"/>
      <c r="H34" s="141"/>
      <c r="I34" s="203"/>
      <c r="J34" s="203"/>
    </row>
    <row r="35" spans="1:10" ht="12.75">
      <c r="A35" s="158">
        <v>11</v>
      </c>
      <c r="B35" s="94">
        <v>758</v>
      </c>
      <c r="C35" s="80" t="s">
        <v>89</v>
      </c>
      <c r="D35" s="25" t="e">
        <f>SUM(#REF!)</f>
        <v>#REF!</v>
      </c>
      <c r="E35" s="42">
        <f>E556</f>
        <v>183335</v>
      </c>
      <c r="F35" s="25">
        <f>F556</f>
        <v>150282.44</v>
      </c>
      <c r="G35" s="25">
        <f>G556</f>
        <v>150282.44</v>
      </c>
      <c r="H35" s="25">
        <f>H556</f>
        <v>218458.35</v>
      </c>
      <c r="I35" s="203">
        <f>H35/G35</f>
        <v>1.4536518704380899</v>
      </c>
      <c r="J35" s="203">
        <f>H35/$H$54</f>
        <v>0.004752136345707892</v>
      </c>
    </row>
    <row r="36" spans="1:10" ht="12.75">
      <c r="A36" s="158"/>
      <c r="B36" s="92"/>
      <c r="C36" s="79"/>
      <c r="D36" s="23"/>
      <c r="E36" s="42"/>
      <c r="F36" s="141"/>
      <c r="G36" s="141"/>
      <c r="H36" s="141"/>
      <c r="I36" s="203"/>
      <c r="J36" s="203"/>
    </row>
    <row r="37" spans="1:10" ht="15">
      <c r="A37" s="158">
        <v>12</v>
      </c>
      <c r="B37" s="93">
        <v>801</v>
      </c>
      <c r="C37" s="78" t="s">
        <v>8</v>
      </c>
      <c r="D37" s="25" t="e">
        <f>SUM(#REF!)</f>
        <v>#REF!</v>
      </c>
      <c r="E37" s="42" t="e">
        <f>E565</f>
        <v>#REF!</v>
      </c>
      <c r="F37" s="25">
        <f>F565</f>
        <v>8498627.31</v>
      </c>
      <c r="G37" s="25">
        <f>G565</f>
        <v>7835239.67</v>
      </c>
      <c r="H37" s="25">
        <f>H565</f>
        <v>13283375</v>
      </c>
      <c r="I37" s="203">
        <f>H37/G37</f>
        <v>1.6953374190785921</v>
      </c>
      <c r="J37" s="203">
        <f>H37/$H$54</f>
        <v>0.28895397741110634</v>
      </c>
    </row>
    <row r="38" spans="1:10" ht="12.75">
      <c r="A38" s="158"/>
      <c r="B38" s="92"/>
      <c r="C38" s="79"/>
      <c r="D38" s="23"/>
      <c r="E38" s="42"/>
      <c r="F38" s="141"/>
      <c r="G38" s="141"/>
      <c r="H38" s="141"/>
      <c r="I38" s="203"/>
      <c r="J38" s="203"/>
    </row>
    <row r="39" spans="1:10" ht="12.75">
      <c r="A39" s="158">
        <v>13</v>
      </c>
      <c r="B39" s="61">
        <v>851</v>
      </c>
      <c r="C39" s="78" t="s">
        <v>9</v>
      </c>
      <c r="D39" s="25"/>
      <c r="E39" s="42" t="e">
        <f>E900</f>
        <v>#REF!</v>
      </c>
      <c r="F39" s="25">
        <f>F900</f>
        <v>324500</v>
      </c>
      <c r="G39" s="25">
        <f>G900</f>
        <v>274500</v>
      </c>
      <c r="H39" s="25">
        <f>H900</f>
        <v>370000</v>
      </c>
      <c r="I39" s="203">
        <f>H39/G39</f>
        <v>1.3479052823315119</v>
      </c>
      <c r="J39" s="203">
        <f>H39/$H$54</f>
        <v>0.008048630084004204</v>
      </c>
    </row>
    <row r="40" spans="1:10" ht="12.75">
      <c r="A40" s="158"/>
      <c r="B40" s="61"/>
      <c r="C40" s="78"/>
      <c r="D40" s="25"/>
      <c r="E40" s="42"/>
      <c r="F40" s="141"/>
      <c r="G40" s="141"/>
      <c r="H40" s="141"/>
      <c r="I40" s="203"/>
      <c r="J40" s="203"/>
    </row>
    <row r="41" spans="1:10" ht="12.75">
      <c r="A41" s="158">
        <v>14</v>
      </c>
      <c r="B41" s="61">
        <v>852</v>
      </c>
      <c r="C41" s="78" t="s">
        <v>202</v>
      </c>
      <c r="D41" s="25"/>
      <c r="E41" s="42"/>
      <c r="F41" s="141">
        <f>F931</f>
        <v>3063206</v>
      </c>
      <c r="G41" s="141">
        <f>G931</f>
        <v>3010052.09</v>
      </c>
      <c r="H41" s="25">
        <f>H931</f>
        <v>2990360</v>
      </c>
      <c r="I41" s="203">
        <f>H41/G41</f>
        <v>0.993457890624079</v>
      </c>
      <c r="J41" s="203">
        <f>H41/$H$54</f>
        <v>0.0650494634000076</v>
      </c>
    </row>
    <row r="42" spans="1:10" ht="12.75">
      <c r="A42" s="158"/>
      <c r="B42" s="92"/>
      <c r="C42" s="78"/>
      <c r="D42" s="25" t="e">
        <f>SUM(#REF!)</f>
        <v>#REF!</v>
      </c>
      <c r="E42" s="42"/>
      <c r="F42" s="141"/>
      <c r="G42" s="141"/>
      <c r="H42" s="141"/>
      <c r="I42" s="203"/>
      <c r="J42" s="203"/>
    </row>
    <row r="43" spans="1:10" ht="12.75">
      <c r="A43" s="158">
        <v>15</v>
      </c>
      <c r="B43" s="61">
        <v>854</v>
      </c>
      <c r="C43" s="78" t="s">
        <v>115</v>
      </c>
      <c r="D43" s="25"/>
      <c r="E43" s="42" t="e">
        <f>E1050</f>
        <v>#REF!</v>
      </c>
      <c r="F43" s="25">
        <f>F1050</f>
        <v>325571</v>
      </c>
      <c r="G43" s="25">
        <f>G1050</f>
        <v>259071.72000000003</v>
      </c>
      <c r="H43" s="25">
        <f>H1050</f>
        <v>254737</v>
      </c>
      <c r="I43" s="203">
        <f>H43/G43</f>
        <v>0.9832682625490732</v>
      </c>
      <c r="J43" s="203">
        <f>H43/$H$54</f>
        <v>0.005541307788402647</v>
      </c>
    </row>
    <row r="44" spans="1:10" ht="12.75">
      <c r="A44" s="158"/>
      <c r="B44" s="92"/>
      <c r="C44" s="78"/>
      <c r="D44" s="25" t="e">
        <f>#REF!</f>
        <v>#REF!</v>
      </c>
      <c r="E44" s="42"/>
      <c r="F44" s="141"/>
      <c r="G44" s="141"/>
      <c r="H44" s="141"/>
      <c r="I44" s="203"/>
      <c r="J44" s="203"/>
    </row>
    <row r="45" spans="1:10" ht="12.75">
      <c r="A45" s="158">
        <v>16</v>
      </c>
      <c r="B45" s="61">
        <v>900</v>
      </c>
      <c r="C45" s="78" t="s">
        <v>119</v>
      </c>
      <c r="D45" s="23"/>
      <c r="E45" s="42"/>
      <c r="F45" s="141"/>
      <c r="G45" s="141"/>
      <c r="H45" s="141"/>
      <c r="I45" s="203"/>
      <c r="J45" s="203"/>
    </row>
    <row r="46" spans="1:10" ht="12.75">
      <c r="A46" s="158"/>
      <c r="B46" s="61"/>
      <c r="C46" s="78" t="s">
        <v>120</v>
      </c>
      <c r="D46" s="25" t="e">
        <f>SUM(#REF!)</f>
        <v>#REF!</v>
      </c>
      <c r="E46" s="42" t="e">
        <f>E1193</f>
        <v>#REF!</v>
      </c>
      <c r="F46" s="25">
        <f>F1193</f>
        <v>4005810.08</v>
      </c>
      <c r="G46" s="25">
        <f>G1193</f>
        <v>3091445.23</v>
      </c>
      <c r="H46" s="25">
        <f>H1193</f>
        <v>6577552</v>
      </c>
      <c r="I46" s="203">
        <f>H46/G46</f>
        <v>2.1276624719629917</v>
      </c>
      <c r="J46" s="203">
        <f>H46/$H$54</f>
        <v>0.14308184569270818</v>
      </c>
    </row>
    <row r="47" spans="1:10" ht="12.75">
      <c r="A47" s="158"/>
      <c r="B47" s="92"/>
      <c r="C47" s="78"/>
      <c r="D47" s="25"/>
      <c r="E47" s="42"/>
      <c r="F47" s="141"/>
      <c r="G47" s="141"/>
      <c r="H47" s="141"/>
      <c r="I47" s="203"/>
      <c r="J47" s="203"/>
    </row>
    <row r="48" spans="1:10" ht="12.75">
      <c r="A48" s="158">
        <v>17</v>
      </c>
      <c r="B48" s="61">
        <v>921</v>
      </c>
      <c r="C48" s="78" t="s">
        <v>124</v>
      </c>
      <c r="D48" s="25" t="e">
        <f>#REF!</f>
        <v>#REF!</v>
      </c>
      <c r="E48" s="42"/>
      <c r="F48" s="141"/>
      <c r="G48" s="141"/>
      <c r="H48" s="141"/>
      <c r="I48" s="203"/>
      <c r="J48" s="203"/>
    </row>
    <row r="49" spans="1:10" ht="12.75">
      <c r="A49" s="158"/>
      <c r="B49" s="95"/>
      <c r="C49" s="113" t="s">
        <v>125</v>
      </c>
      <c r="D49" s="38"/>
      <c r="E49" s="42" t="e">
        <f>E1297</f>
        <v>#REF!</v>
      </c>
      <c r="F49" s="25">
        <f>F1297</f>
        <v>1695315</v>
      </c>
      <c r="G49" s="25">
        <f>G1297</f>
        <v>1393839</v>
      </c>
      <c r="H49" s="25">
        <f>H1297</f>
        <v>4335800</v>
      </c>
      <c r="I49" s="203">
        <f>H49/G49</f>
        <v>3.110689254641318</v>
      </c>
      <c r="J49" s="203">
        <f>H49/$H$54</f>
        <v>0.09431689275196062</v>
      </c>
    </row>
    <row r="50" spans="1:10" ht="12.75">
      <c r="A50" s="158"/>
      <c r="B50" s="95"/>
      <c r="C50" s="114"/>
      <c r="D50" s="23"/>
      <c r="E50" s="42"/>
      <c r="F50" s="141"/>
      <c r="G50" s="141"/>
      <c r="H50" s="141"/>
      <c r="I50" s="203"/>
      <c r="J50" s="203"/>
    </row>
    <row r="51" spans="1:10" ht="12.75">
      <c r="A51" s="158">
        <v>18</v>
      </c>
      <c r="B51" s="95">
        <v>926</v>
      </c>
      <c r="C51" s="114" t="s">
        <v>152</v>
      </c>
      <c r="D51" s="23"/>
      <c r="E51" s="42" t="e">
        <f>E1348</f>
        <v>#REF!</v>
      </c>
      <c r="F51" s="25">
        <f>F1348</f>
        <v>212411</v>
      </c>
      <c r="G51" s="25">
        <f>G1348</f>
        <v>202261</v>
      </c>
      <c r="H51" s="25">
        <f>H1348</f>
        <v>304800</v>
      </c>
      <c r="I51" s="203">
        <f>H51/G51</f>
        <v>1.5069637745289501</v>
      </c>
      <c r="J51" s="203">
        <f>H51/$H$54</f>
        <v>0.006630330944876977</v>
      </c>
    </row>
    <row r="52" spans="1:11" ht="12" customHeight="1">
      <c r="A52" s="169"/>
      <c r="B52" s="96"/>
      <c r="C52" s="115"/>
      <c r="D52" s="24"/>
      <c r="E52" s="43"/>
      <c r="F52" s="142"/>
      <c r="G52" s="142"/>
      <c r="H52" s="142"/>
      <c r="I52" s="207"/>
      <c r="J52" s="203"/>
      <c r="K52" s="220"/>
    </row>
    <row r="53" spans="1:10" ht="12.75">
      <c r="A53" s="171"/>
      <c r="B53" s="90"/>
      <c r="C53" s="114"/>
      <c r="D53" s="23"/>
      <c r="E53" s="42"/>
      <c r="F53" s="141"/>
      <c r="G53" s="141"/>
      <c r="H53" s="141"/>
      <c r="I53" s="204"/>
      <c r="J53" s="204"/>
    </row>
    <row r="54" spans="1:10" s="60" customFormat="1" ht="12.75">
      <c r="A54" s="172"/>
      <c r="B54" s="90"/>
      <c r="C54" s="114" t="s">
        <v>10</v>
      </c>
      <c r="D54" s="58" t="e">
        <f>D48+D46+D44+#REF!+D42+D37+D35+D33+D31+D27+D25+D23+D21+D18+D14+D12+#REF!</f>
        <v>#REF!</v>
      </c>
      <c r="E54" s="59" t="e">
        <f>SUM(E12:E51)</f>
        <v>#REF!</v>
      </c>
      <c r="F54" s="58">
        <f>SUM(F12:F51)</f>
        <v>36660889.17</v>
      </c>
      <c r="G54" s="58">
        <f>SUM(G12:G51)</f>
        <v>33104864.79</v>
      </c>
      <c r="H54" s="58">
        <f>SUM(H12:H51)</f>
        <v>45970556</v>
      </c>
      <c r="I54" s="208">
        <f>H54/G54</f>
        <v>1.3886344587604642</v>
      </c>
      <c r="J54" s="208">
        <f>G54/$G54</f>
        <v>1</v>
      </c>
    </row>
    <row r="55" spans="1:10" ht="12.75">
      <c r="A55" s="171"/>
      <c r="B55" s="17"/>
      <c r="C55" s="116" t="s">
        <v>11</v>
      </c>
      <c r="D55" s="23"/>
      <c r="E55" s="46"/>
      <c r="F55" s="138"/>
      <c r="G55" s="138"/>
      <c r="H55" s="138"/>
      <c r="I55" s="208"/>
      <c r="J55" s="208"/>
    </row>
    <row r="56" spans="1:13" ht="12.75">
      <c r="A56" s="171"/>
      <c r="B56" s="17"/>
      <c r="C56" s="116" t="s">
        <v>190</v>
      </c>
      <c r="D56" s="23" t="e">
        <f>D72+#REF!+#REF!+#REF!+#REF!+#REF!+#REF!+#REF!+#REF!+#REF!+#REF!+#REF!</f>
        <v>#REF!</v>
      </c>
      <c r="E56" s="47" t="e">
        <f>E72+E110+#REF!+E212+#REF!+E400+E675+E749+E864+#REF!+#REF!+#REF!+#REF!+#REF!</f>
        <v>#REF!</v>
      </c>
      <c r="F56" s="143">
        <f>F72+F87+F110+F148+F158+F163+F171+F212+F250+F390+F400+F449+F482+F501+F506+F512+F533+F542+F675+F679+F716+F717+F749+F756+F864+F920+F1217+F1230+F1237+F1267+F1275+F1282+F1290+F1295+F1309+F1316+F1322+F1326+F1333+F1362</f>
        <v>14061065.83</v>
      </c>
      <c r="G56" s="143">
        <f>G72+G87+G110+G148+G158+G163+G171+G212+G250+G390+G400+G449+G482+G501+G506+G512+G533+G542+G675+G679+G716+G717+G749+G756+G864+G920+G1217+G1230+G1237+G1267+G1275+G1282+G1290+G1295+G1309+G1316+G1322+G1326+G1333+G1362</f>
        <v>11488220.990000002</v>
      </c>
      <c r="H56" s="143">
        <f>H72+H87+H110+H148+H158+H163+H171+H212+H250+H390+H400+H449+H482+H501+H506+H512+H533+H542+H675+H679+H716+H717+H749+H756+H864+H920+H1217+H1230+H1237+H1267+H1275+H1282+H1290+H1295+H1309+H1316+H1322+H1326+H1333+H1362</f>
        <v>22996006</v>
      </c>
      <c r="I56" s="208">
        <f>H56/G56</f>
        <v>2.001702963410699</v>
      </c>
      <c r="J56" s="208">
        <f>H56/$H$54</f>
        <v>0.5002333667663276</v>
      </c>
      <c r="L56" s="27"/>
      <c r="M56" s="27"/>
    </row>
    <row r="57" spans="1:12" ht="12.75">
      <c r="A57" s="173"/>
      <c r="B57" s="18"/>
      <c r="C57" s="117" t="s">
        <v>12</v>
      </c>
      <c r="D57" s="24" t="e">
        <f>D54-D56</f>
        <v>#REF!</v>
      </c>
      <c r="E57" s="48" t="e">
        <f>E54-E56</f>
        <v>#REF!</v>
      </c>
      <c r="F57" s="24">
        <f>F54-F56</f>
        <v>22599823.340000004</v>
      </c>
      <c r="G57" s="24">
        <f>G54-G56</f>
        <v>21616643.799999997</v>
      </c>
      <c r="H57" s="24">
        <f>H54-H56</f>
        <v>22974550</v>
      </c>
      <c r="I57" s="207">
        <f>H57/G57</f>
        <v>1.062817623890347</v>
      </c>
      <c r="J57" s="207">
        <f>H57/$H$54</f>
        <v>0.49976663323367243</v>
      </c>
      <c r="L57" s="27"/>
    </row>
    <row r="58" spans="1:10" ht="12.75">
      <c r="A58" s="180"/>
      <c r="B58" s="37"/>
      <c r="C58" s="181"/>
      <c r="D58" s="38"/>
      <c r="E58" s="182"/>
      <c r="F58" s="38"/>
      <c r="G58" s="38"/>
      <c r="H58" s="38"/>
      <c r="I58" s="209"/>
      <c r="J58" s="209"/>
    </row>
    <row r="59" spans="1:10" ht="12.75">
      <c r="A59" s="180"/>
      <c r="B59" s="37"/>
      <c r="C59" s="181"/>
      <c r="D59" s="38"/>
      <c r="E59" s="182"/>
      <c r="F59" s="38"/>
      <c r="G59" s="38"/>
      <c r="H59" s="38"/>
      <c r="I59" s="209"/>
      <c r="J59" s="209"/>
    </row>
    <row r="60" spans="1:10" ht="12.75">
      <c r="A60" s="180"/>
      <c r="B60" s="37"/>
      <c r="C60" s="181"/>
      <c r="D60" s="38"/>
      <c r="E60" s="182"/>
      <c r="F60" s="38"/>
      <c r="G60" s="38"/>
      <c r="H60" s="38"/>
      <c r="I60" s="209"/>
      <c r="J60" s="209"/>
    </row>
    <row r="61" spans="1:10" s="37" customFormat="1" ht="12.75">
      <c r="A61" s="180"/>
      <c r="C61" s="181"/>
      <c r="D61" s="38"/>
      <c r="E61" s="182"/>
      <c r="F61" s="38"/>
      <c r="G61" s="38"/>
      <c r="H61" s="38"/>
      <c r="I61" s="209"/>
      <c r="J61" s="209"/>
    </row>
    <row r="62" spans="1:10" ht="14.25" customHeight="1">
      <c r="A62" s="174"/>
      <c r="B62" s="55" t="s">
        <v>13</v>
      </c>
      <c r="C62" s="118"/>
      <c r="D62" s="22"/>
      <c r="E62" s="35"/>
      <c r="F62" s="35"/>
      <c r="G62" s="35"/>
      <c r="H62" s="35"/>
      <c r="I62" s="202"/>
      <c r="J62" s="202"/>
    </row>
    <row r="63" spans="1:10" ht="14.25" customHeight="1">
      <c r="A63" s="158"/>
      <c r="B63" s="4" t="s">
        <v>399</v>
      </c>
      <c r="C63" s="110"/>
      <c r="D63" s="30" t="s">
        <v>1</v>
      </c>
      <c r="E63" s="100" t="s">
        <v>162</v>
      </c>
      <c r="F63" s="147" t="s">
        <v>483</v>
      </c>
      <c r="G63" s="139" t="s">
        <v>1</v>
      </c>
      <c r="H63" s="138" t="s">
        <v>486</v>
      </c>
      <c r="I63" s="203" t="s">
        <v>2</v>
      </c>
      <c r="J63" s="204" t="s">
        <v>3</v>
      </c>
    </row>
    <row r="64" spans="1:10" ht="12.75">
      <c r="A64" s="158" t="s">
        <v>4</v>
      </c>
      <c r="B64" s="40" t="s">
        <v>400</v>
      </c>
      <c r="C64" s="110" t="s">
        <v>5</v>
      </c>
      <c r="D64" s="30" t="s">
        <v>6</v>
      </c>
      <c r="E64" s="102" t="s">
        <v>163</v>
      </c>
      <c r="F64" s="28" t="s">
        <v>484</v>
      </c>
      <c r="G64" s="28" t="s">
        <v>485</v>
      </c>
      <c r="H64" s="138" t="s">
        <v>487</v>
      </c>
      <c r="I64" s="203" t="s">
        <v>192</v>
      </c>
      <c r="J64" s="208" t="s">
        <v>489</v>
      </c>
    </row>
    <row r="65" spans="1:10" ht="12.75">
      <c r="A65" s="169"/>
      <c r="B65" s="5" t="s">
        <v>401</v>
      </c>
      <c r="C65" s="111"/>
      <c r="D65" s="31" t="s">
        <v>7</v>
      </c>
      <c r="E65" s="193" t="s">
        <v>164</v>
      </c>
      <c r="F65" s="195" t="s">
        <v>571</v>
      </c>
      <c r="G65" s="195" t="s">
        <v>296</v>
      </c>
      <c r="H65" s="140"/>
      <c r="I65" s="205" t="s">
        <v>165</v>
      </c>
      <c r="J65" s="207" t="s">
        <v>488</v>
      </c>
    </row>
    <row r="66" spans="1:10" ht="12.75">
      <c r="A66" s="170">
        <v>1</v>
      </c>
      <c r="B66" s="54">
        <v>2</v>
      </c>
      <c r="C66" s="112">
        <v>3</v>
      </c>
      <c r="D66" s="54"/>
      <c r="E66" s="54">
        <v>4</v>
      </c>
      <c r="F66" s="164">
        <v>4</v>
      </c>
      <c r="G66" s="164">
        <v>5</v>
      </c>
      <c r="H66" s="164">
        <v>6</v>
      </c>
      <c r="I66" s="206">
        <v>7</v>
      </c>
      <c r="J66" s="206">
        <v>8</v>
      </c>
    </row>
    <row r="67" spans="1:10" ht="12.75">
      <c r="A67" s="158">
        <v>1</v>
      </c>
      <c r="B67" s="7" t="s">
        <v>93</v>
      </c>
      <c r="C67" s="78" t="s">
        <v>96</v>
      </c>
      <c r="D67" s="25"/>
      <c r="E67" s="42" t="e">
        <f>E68+E71</f>
        <v>#REF!</v>
      </c>
      <c r="F67" s="25">
        <f>F68+F71</f>
        <v>169800</v>
      </c>
      <c r="G67" s="25">
        <f>G68+G71</f>
        <v>14160</v>
      </c>
      <c r="H67" s="25">
        <f>H68+H71</f>
        <v>142200</v>
      </c>
      <c r="I67" s="203">
        <f>H67/G67</f>
        <v>10.042372881355933</v>
      </c>
      <c r="J67" s="203">
        <f aca="true" t="shared" si="0" ref="J67:J76">H67/$H$1363</f>
        <v>0.0030932843187713457</v>
      </c>
    </row>
    <row r="68" spans="1:10" s="65" customFormat="1" ht="12.75">
      <c r="A68" s="158">
        <f>A67+1</f>
        <v>2</v>
      </c>
      <c r="B68" s="62" t="s">
        <v>166</v>
      </c>
      <c r="C68" s="68" t="s">
        <v>167</v>
      </c>
      <c r="D68" s="63"/>
      <c r="E68" s="64">
        <f>E70</f>
        <v>0</v>
      </c>
      <c r="F68" s="63">
        <f>F70</f>
        <v>800</v>
      </c>
      <c r="G68" s="63">
        <f>G70</f>
        <v>160</v>
      </c>
      <c r="H68" s="63">
        <f>H70</f>
        <v>200</v>
      </c>
      <c r="I68" s="203">
        <f>H68/G68</f>
        <v>1.25</v>
      </c>
      <c r="J68" s="203">
        <f t="shared" si="0"/>
        <v>4.350610856218489E-06</v>
      </c>
    </row>
    <row r="69" spans="1:10" s="60" customFormat="1" ht="12.75">
      <c r="A69" s="158">
        <f>A68+1</f>
        <v>3</v>
      </c>
      <c r="B69" s="85">
        <v>2850</v>
      </c>
      <c r="C69" s="106" t="s">
        <v>168</v>
      </c>
      <c r="D69" s="84"/>
      <c r="E69" s="82"/>
      <c r="F69" s="144"/>
      <c r="G69" s="144"/>
      <c r="H69" s="144"/>
      <c r="I69" s="203"/>
      <c r="J69" s="203"/>
    </row>
    <row r="70" spans="1:10" s="60" customFormat="1" ht="12.75">
      <c r="A70" s="158">
        <f>A69+1</f>
        <v>4</v>
      </c>
      <c r="B70" s="85"/>
      <c r="C70" s="79" t="s">
        <v>169</v>
      </c>
      <c r="D70" s="84"/>
      <c r="E70" s="82">
        <v>0</v>
      </c>
      <c r="F70" s="144">
        <v>800</v>
      </c>
      <c r="G70" s="144">
        <v>160</v>
      </c>
      <c r="H70" s="144">
        <v>200</v>
      </c>
      <c r="I70" s="203">
        <f>H70/G70</f>
        <v>1.25</v>
      </c>
      <c r="J70" s="203">
        <f t="shared" si="0"/>
        <v>4.350610856218489E-06</v>
      </c>
    </row>
    <row r="71" spans="1:10" ht="12.75">
      <c r="A71" s="158">
        <f>A70+1</f>
        <v>5</v>
      </c>
      <c r="B71" s="8" t="s">
        <v>94</v>
      </c>
      <c r="C71" s="68" t="s">
        <v>14</v>
      </c>
      <c r="D71" s="25"/>
      <c r="E71" s="44" t="e">
        <f>SUM(E72:E72)</f>
        <v>#REF!</v>
      </c>
      <c r="F71" s="26">
        <f>SUM(F74:F79)</f>
        <v>169000</v>
      </c>
      <c r="G71" s="26">
        <f>SUM(G74:G79)</f>
        <v>14000</v>
      </c>
      <c r="H71" s="26">
        <f>SUM(H74:H79)</f>
        <v>142000</v>
      </c>
      <c r="I71" s="203">
        <f>H71/G71</f>
        <v>10.142857142857142</v>
      </c>
      <c r="J71" s="203">
        <f t="shared" si="0"/>
        <v>0.0030889337079151274</v>
      </c>
    </row>
    <row r="72" spans="1:10" ht="12.75">
      <c r="A72" s="158">
        <f aca="true" t="shared" si="1" ref="A72:A158">A71+1</f>
        <v>6</v>
      </c>
      <c r="B72" s="4">
        <v>6050</v>
      </c>
      <c r="C72" s="79" t="s">
        <v>133</v>
      </c>
      <c r="D72" s="25"/>
      <c r="E72" s="47" t="e">
        <f>SUM(#REF!)</f>
        <v>#REF!</v>
      </c>
      <c r="F72" s="23">
        <f>SUM(F74:F79)</f>
        <v>169000</v>
      </c>
      <c r="G72" s="23">
        <f>SUM(G74:G79)</f>
        <v>14000</v>
      </c>
      <c r="H72" s="23">
        <f>SUM(H74:H79)</f>
        <v>142000</v>
      </c>
      <c r="I72" s="203">
        <f>H72/G72</f>
        <v>10.142857142857142</v>
      </c>
      <c r="J72" s="203">
        <f t="shared" si="0"/>
        <v>0.0030889337079151274</v>
      </c>
    </row>
    <row r="73" spans="1:10" ht="12.75">
      <c r="A73" s="158">
        <f t="shared" si="1"/>
        <v>7</v>
      </c>
      <c r="B73" s="4"/>
      <c r="C73" s="79" t="s">
        <v>15</v>
      </c>
      <c r="D73" s="25"/>
      <c r="E73" s="46"/>
      <c r="F73" s="138"/>
      <c r="G73" s="138"/>
      <c r="H73" s="138"/>
      <c r="I73" s="203"/>
      <c r="J73" s="203"/>
    </row>
    <row r="74" spans="1:10" ht="12.75">
      <c r="A74" s="158">
        <f t="shared" si="1"/>
        <v>8</v>
      </c>
      <c r="B74" s="4"/>
      <c r="C74" s="106" t="s">
        <v>402</v>
      </c>
      <c r="D74" s="25"/>
      <c r="E74" s="46"/>
      <c r="F74" s="138">
        <v>14000</v>
      </c>
      <c r="G74" s="138">
        <v>14000</v>
      </c>
      <c r="H74" s="138">
        <v>0</v>
      </c>
      <c r="I74" s="203">
        <f>H74/G74</f>
        <v>0</v>
      </c>
      <c r="J74" s="203">
        <f t="shared" si="0"/>
        <v>0</v>
      </c>
    </row>
    <row r="75" spans="1:10" ht="12.75">
      <c r="A75" s="158">
        <f t="shared" si="1"/>
        <v>9</v>
      </c>
      <c r="B75" s="4"/>
      <c r="C75" s="106" t="s">
        <v>573</v>
      </c>
      <c r="D75" s="25"/>
      <c r="E75" s="46"/>
      <c r="F75" s="138"/>
      <c r="G75" s="138"/>
      <c r="H75" s="138"/>
      <c r="I75" s="203"/>
      <c r="J75" s="203"/>
    </row>
    <row r="76" spans="1:10" ht="12.75">
      <c r="A76" s="158">
        <f t="shared" si="1"/>
        <v>10</v>
      </c>
      <c r="B76" s="4"/>
      <c r="C76" s="106" t="s">
        <v>574</v>
      </c>
      <c r="D76" s="25"/>
      <c r="E76" s="46"/>
      <c r="F76" s="138">
        <v>130000</v>
      </c>
      <c r="G76" s="138">
        <v>0</v>
      </c>
      <c r="H76" s="138">
        <v>130000</v>
      </c>
      <c r="I76" s="203"/>
      <c r="J76" s="203">
        <f t="shared" si="0"/>
        <v>0.002827897056542018</v>
      </c>
    </row>
    <row r="77" spans="1:10" ht="12.75">
      <c r="A77" s="158">
        <f t="shared" si="1"/>
        <v>11</v>
      </c>
      <c r="B77" s="4"/>
      <c r="C77" s="106" t="s">
        <v>575</v>
      </c>
      <c r="D77" s="25"/>
      <c r="E77" s="46"/>
      <c r="F77" s="138"/>
      <c r="G77" s="138"/>
      <c r="H77" s="138"/>
      <c r="I77" s="203"/>
      <c r="J77" s="203"/>
    </row>
    <row r="78" spans="1:10" ht="12.75">
      <c r="A78" s="158">
        <f t="shared" si="1"/>
        <v>12</v>
      </c>
      <c r="B78" s="4"/>
      <c r="C78" s="106" t="s">
        <v>576</v>
      </c>
      <c r="D78" s="25"/>
      <c r="E78" s="46"/>
      <c r="F78" s="138"/>
      <c r="G78" s="138"/>
      <c r="H78" s="138"/>
      <c r="I78" s="203"/>
      <c r="J78" s="203"/>
    </row>
    <row r="79" spans="1:10" ht="12.75">
      <c r="A79" s="158">
        <f t="shared" si="1"/>
        <v>13</v>
      </c>
      <c r="B79" s="4"/>
      <c r="C79" s="106" t="s">
        <v>577</v>
      </c>
      <c r="D79" s="25"/>
      <c r="E79" s="46"/>
      <c r="F79" s="138">
        <v>25000</v>
      </c>
      <c r="G79" s="138">
        <v>0</v>
      </c>
      <c r="H79" s="138">
        <v>12000</v>
      </c>
      <c r="I79" s="203"/>
      <c r="J79" s="203">
        <f>H79/$H$1363</f>
        <v>0.00026103665137310934</v>
      </c>
    </row>
    <row r="80" spans="1:10" ht="15">
      <c r="A80" s="158">
        <f t="shared" si="1"/>
        <v>14</v>
      </c>
      <c r="B80" s="9">
        <v>600</v>
      </c>
      <c r="C80" s="78" t="s">
        <v>95</v>
      </c>
      <c r="D80" s="25"/>
      <c r="E80" s="42" t="e">
        <f>E81+E88</f>
        <v>#REF!</v>
      </c>
      <c r="F80" s="25">
        <f>F81+F88+F149</f>
        <v>2827317</v>
      </c>
      <c r="G80" s="25">
        <f>G81+G88+G149</f>
        <v>2475149.66</v>
      </c>
      <c r="H80" s="25">
        <f>H81+H88+H149</f>
        <v>7684518</v>
      </c>
      <c r="I80" s="203">
        <f>H80/G80</f>
        <v>3.104668022377281</v>
      </c>
      <c r="J80" s="203">
        <f aca="true" t="shared" si="2" ref="J80:J128">H80/$H$1363</f>
        <v>0.16716173717803195</v>
      </c>
    </row>
    <row r="81" spans="1:10" s="65" customFormat="1" ht="12.75">
      <c r="A81" s="158">
        <f t="shared" si="1"/>
        <v>15</v>
      </c>
      <c r="B81" s="62">
        <v>60014</v>
      </c>
      <c r="C81" s="68" t="s">
        <v>97</v>
      </c>
      <c r="D81" s="63"/>
      <c r="E81" s="64">
        <f>E82</f>
        <v>0</v>
      </c>
      <c r="F81" s="63">
        <f>SUM(F82:F87)</f>
        <v>279302</v>
      </c>
      <c r="G81" s="63">
        <f>SUM(G82:G87)</f>
        <v>279302</v>
      </c>
      <c r="H81" s="63">
        <f>SUM(H82:H87)</f>
        <v>0</v>
      </c>
      <c r="I81" s="203">
        <f>H81/G81</f>
        <v>0</v>
      </c>
      <c r="J81" s="203">
        <f t="shared" si="2"/>
        <v>0</v>
      </c>
    </row>
    <row r="82" spans="1:10" s="60" customFormat="1" ht="12.75">
      <c r="A82" s="158">
        <f t="shared" si="1"/>
        <v>16</v>
      </c>
      <c r="B82" s="85">
        <v>4300</v>
      </c>
      <c r="C82" s="79" t="s">
        <v>134</v>
      </c>
      <c r="D82" s="84"/>
      <c r="E82" s="82">
        <v>0</v>
      </c>
      <c r="F82" s="144">
        <v>28200</v>
      </c>
      <c r="G82" s="144">
        <v>28200</v>
      </c>
      <c r="H82" s="144">
        <v>0</v>
      </c>
      <c r="I82" s="203">
        <f>H82/G82</f>
        <v>0</v>
      </c>
      <c r="J82" s="203">
        <f t="shared" si="2"/>
        <v>0</v>
      </c>
    </row>
    <row r="83" spans="1:10" s="60" customFormat="1" ht="12.75">
      <c r="A83" s="158">
        <f t="shared" si="1"/>
        <v>17</v>
      </c>
      <c r="B83" s="85">
        <v>6620</v>
      </c>
      <c r="C83" s="79" t="s">
        <v>241</v>
      </c>
      <c r="D83" s="84"/>
      <c r="E83" s="82"/>
      <c r="F83" s="144"/>
      <c r="G83" s="144"/>
      <c r="H83" s="144"/>
      <c r="I83" s="203"/>
      <c r="J83" s="203"/>
    </row>
    <row r="84" spans="1:10" s="60" customFormat="1" ht="12.75">
      <c r="A84" s="158">
        <f t="shared" si="1"/>
        <v>18</v>
      </c>
      <c r="B84" s="85"/>
      <c r="C84" s="79" t="s">
        <v>270</v>
      </c>
      <c r="D84" s="84"/>
      <c r="E84" s="82"/>
      <c r="F84" s="144"/>
      <c r="G84" s="144"/>
      <c r="H84" s="144"/>
      <c r="I84" s="203"/>
      <c r="J84" s="203"/>
    </row>
    <row r="85" spans="1:10" s="60" customFormat="1" ht="12.75">
      <c r="A85" s="158">
        <f t="shared" si="1"/>
        <v>19</v>
      </c>
      <c r="B85" s="85"/>
      <c r="C85" s="79" t="s">
        <v>269</v>
      </c>
      <c r="D85" s="84"/>
      <c r="E85" s="82"/>
      <c r="F85" s="144"/>
      <c r="G85" s="144"/>
      <c r="H85" s="144"/>
      <c r="I85" s="203"/>
      <c r="J85" s="203"/>
    </row>
    <row r="86" spans="1:10" s="60" customFormat="1" ht="12.75">
      <c r="A86" s="158">
        <f t="shared" si="1"/>
        <v>20</v>
      </c>
      <c r="B86" s="85"/>
      <c r="C86" s="79" t="s">
        <v>271</v>
      </c>
      <c r="D86" s="84"/>
      <c r="E86" s="82"/>
      <c r="F86" s="144"/>
      <c r="G86" s="144"/>
      <c r="H86" s="144"/>
      <c r="I86" s="203"/>
      <c r="J86" s="203"/>
    </row>
    <row r="87" spans="1:10" s="60" customFormat="1" ht="12.75">
      <c r="A87" s="158">
        <f t="shared" si="1"/>
        <v>21</v>
      </c>
      <c r="B87" s="85"/>
      <c r="C87" s="79" t="s">
        <v>403</v>
      </c>
      <c r="D87" s="84"/>
      <c r="E87" s="82"/>
      <c r="F87" s="144">
        <v>251102</v>
      </c>
      <c r="G87" s="144">
        <v>251102</v>
      </c>
      <c r="H87" s="144">
        <v>0</v>
      </c>
      <c r="I87" s="203">
        <f>H87/G87</f>
        <v>0</v>
      </c>
      <c r="J87" s="203">
        <f t="shared" si="2"/>
        <v>0</v>
      </c>
    </row>
    <row r="88" spans="1:10" ht="12.75">
      <c r="A88" s="158">
        <f t="shared" si="1"/>
        <v>22</v>
      </c>
      <c r="B88" s="10">
        <v>60016</v>
      </c>
      <c r="C88" s="68" t="s">
        <v>16</v>
      </c>
      <c r="D88" s="25"/>
      <c r="E88" s="44" t="e">
        <f>#REF!+E96+E110</f>
        <v>#REF!</v>
      </c>
      <c r="F88" s="26">
        <f>F89+F90+F96+F106+F110+F148</f>
        <v>2202015</v>
      </c>
      <c r="G88" s="26">
        <f>G89+G90+G96+G106+G110+G148</f>
        <v>1873359.9600000002</v>
      </c>
      <c r="H88" s="26">
        <f>H89+H90+H96+H106+H110+H148</f>
        <v>7564518</v>
      </c>
      <c r="I88" s="203">
        <f>H88/G88</f>
        <v>4.037941539008872</v>
      </c>
      <c r="J88" s="203">
        <f t="shared" si="2"/>
        <v>0.16455137066430087</v>
      </c>
    </row>
    <row r="89" spans="1:10" s="60" customFormat="1" ht="12.75">
      <c r="A89" s="158">
        <f t="shared" si="1"/>
        <v>23</v>
      </c>
      <c r="B89" s="85">
        <v>4210</v>
      </c>
      <c r="C89" s="79" t="s">
        <v>136</v>
      </c>
      <c r="D89" s="84"/>
      <c r="E89" s="82"/>
      <c r="F89" s="144">
        <v>6305</v>
      </c>
      <c r="G89" s="144">
        <v>6304.96</v>
      </c>
      <c r="H89" s="144">
        <v>10000</v>
      </c>
      <c r="I89" s="203">
        <f>H89/G89</f>
        <v>1.586052885347409</v>
      </c>
      <c r="J89" s="203">
        <f t="shared" si="2"/>
        <v>0.00021753054281092445</v>
      </c>
    </row>
    <row r="90" spans="1:10" s="60" customFormat="1" ht="12.75">
      <c r="A90" s="158">
        <f t="shared" si="1"/>
        <v>24</v>
      </c>
      <c r="B90" s="85">
        <v>4270</v>
      </c>
      <c r="C90" s="79" t="s">
        <v>135</v>
      </c>
      <c r="D90" s="84"/>
      <c r="E90" s="82"/>
      <c r="F90" s="84">
        <f>SUM(F92:F95)</f>
        <v>143000</v>
      </c>
      <c r="G90" s="84">
        <f>SUM(G92:G95)</f>
        <v>142999.3</v>
      </c>
      <c r="H90" s="84">
        <f>SUM(H92:H95)</f>
        <v>0</v>
      </c>
      <c r="I90" s="203">
        <f>H90/G90</f>
        <v>0</v>
      </c>
      <c r="J90" s="203">
        <f t="shared" si="2"/>
        <v>0</v>
      </c>
    </row>
    <row r="91" spans="1:10" s="60" customFormat="1" ht="12.75">
      <c r="A91" s="158">
        <f t="shared" si="1"/>
        <v>25</v>
      </c>
      <c r="B91" s="85"/>
      <c r="C91" s="79" t="s">
        <v>15</v>
      </c>
      <c r="D91" s="84"/>
      <c r="E91" s="82"/>
      <c r="F91" s="144"/>
      <c r="G91" s="144"/>
      <c r="H91" s="144"/>
      <c r="I91" s="203"/>
      <c r="J91" s="203"/>
    </row>
    <row r="92" spans="1:10" s="60" customFormat="1" ht="12.75">
      <c r="A92" s="158">
        <f t="shared" si="1"/>
        <v>26</v>
      </c>
      <c r="B92" s="85"/>
      <c r="C92" s="79" t="s">
        <v>404</v>
      </c>
      <c r="D92" s="84"/>
      <c r="E92" s="82"/>
      <c r="F92" s="144">
        <f>67060-3845</f>
        <v>63215</v>
      </c>
      <c r="G92" s="144">
        <v>63214.3</v>
      </c>
      <c r="H92" s="144">
        <v>0</v>
      </c>
      <c r="I92" s="203">
        <f>H92/G92</f>
        <v>0</v>
      </c>
      <c r="J92" s="203">
        <f t="shared" si="2"/>
        <v>0</v>
      </c>
    </row>
    <row r="93" spans="1:10" s="60" customFormat="1" ht="12.75">
      <c r="A93" s="158">
        <f t="shared" si="1"/>
        <v>27</v>
      </c>
      <c r="B93" s="85"/>
      <c r="C93" s="79" t="s">
        <v>490</v>
      </c>
      <c r="D93" s="84"/>
      <c r="E93" s="82"/>
      <c r="F93" s="144">
        <v>2440</v>
      </c>
      <c r="G93" s="144">
        <v>2440</v>
      </c>
      <c r="H93" s="144">
        <v>0</v>
      </c>
      <c r="I93" s="203">
        <f>H93/G93</f>
        <v>0</v>
      </c>
      <c r="J93" s="203">
        <f t="shared" si="2"/>
        <v>0</v>
      </c>
    </row>
    <row r="94" spans="1:10" s="60" customFormat="1" ht="12.75">
      <c r="A94" s="158">
        <f t="shared" si="1"/>
        <v>28</v>
      </c>
      <c r="B94" s="85"/>
      <c r="C94" s="79" t="s">
        <v>491</v>
      </c>
      <c r="D94" s="84"/>
      <c r="E94" s="82"/>
      <c r="F94" s="144">
        <v>3500</v>
      </c>
      <c r="G94" s="144">
        <v>3500</v>
      </c>
      <c r="H94" s="144">
        <v>0</v>
      </c>
      <c r="I94" s="203">
        <f>H94/G94</f>
        <v>0</v>
      </c>
      <c r="J94" s="203">
        <f t="shared" si="2"/>
        <v>0</v>
      </c>
    </row>
    <row r="95" spans="1:10" s="60" customFormat="1" ht="12.75">
      <c r="A95" s="158">
        <f t="shared" si="1"/>
        <v>29</v>
      </c>
      <c r="B95" s="85"/>
      <c r="C95" s="79" t="s">
        <v>492</v>
      </c>
      <c r="D95" s="84"/>
      <c r="E95" s="82"/>
      <c r="F95" s="144">
        <f>70000+3845</f>
        <v>73845</v>
      </c>
      <c r="G95" s="144">
        <v>73845</v>
      </c>
      <c r="H95" s="144">
        <v>0</v>
      </c>
      <c r="I95" s="203">
        <f>H95/G95</f>
        <v>0</v>
      </c>
      <c r="J95" s="203">
        <f t="shared" si="2"/>
        <v>0</v>
      </c>
    </row>
    <row r="96" spans="1:10" s="32" customFormat="1" ht="12.75">
      <c r="A96" s="158">
        <f t="shared" si="1"/>
        <v>30</v>
      </c>
      <c r="B96" s="14">
        <v>4300</v>
      </c>
      <c r="C96" s="119" t="s">
        <v>134</v>
      </c>
      <c r="D96" s="25"/>
      <c r="E96" s="49">
        <f>SUM(E98:E102)</f>
        <v>260000</v>
      </c>
      <c r="F96" s="146">
        <f>SUM(F98:F105)</f>
        <v>359352</v>
      </c>
      <c r="G96" s="146">
        <f>SUM(G98:G105)</f>
        <v>359352</v>
      </c>
      <c r="H96" s="199">
        <f>SUM(H98:H105)</f>
        <v>320000</v>
      </c>
      <c r="I96" s="203">
        <f>H96/G96</f>
        <v>0.8904917740822369</v>
      </c>
      <c r="J96" s="203">
        <f t="shared" si="2"/>
        <v>0.006960977369949582</v>
      </c>
    </row>
    <row r="97" spans="1:10" s="32" customFormat="1" ht="12.75">
      <c r="A97" s="158">
        <f t="shared" si="1"/>
        <v>31</v>
      </c>
      <c r="B97" s="14"/>
      <c r="C97" s="119" t="s">
        <v>15</v>
      </c>
      <c r="D97" s="25"/>
      <c r="E97" s="46"/>
      <c r="F97" s="138"/>
      <c r="G97" s="138"/>
      <c r="H97" s="138"/>
      <c r="I97" s="203"/>
      <c r="J97" s="203"/>
    </row>
    <row r="98" spans="1:10" s="32" customFormat="1" ht="12.75">
      <c r="A98" s="158">
        <f t="shared" si="1"/>
        <v>32</v>
      </c>
      <c r="B98" s="14"/>
      <c r="C98" s="119" t="s">
        <v>17</v>
      </c>
      <c r="D98" s="25"/>
      <c r="E98" s="46">
        <v>17000</v>
      </c>
      <c r="F98" s="138">
        <f>15000-360</f>
        <v>14640</v>
      </c>
      <c r="G98" s="138">
        <v>14640</v>
      </c>
      <c r="H98" s="138">
        <v>20000</v>
      </c>
      <c r="I98" s="203">
        <f>H98/G98</f>
        <v>1.366120218579235</v>
      </c>
      <c r="J98" s="203">
        <f t="shared" si="2"/>
        <v>0.0004350610856218489</v>
      </c>
    </row>
    <row r="99" spans="1:10" ht="12.75">
      <c r="A99" s="158">
        <f t="shared" si="1"/>
        <v>33</v>
      </c>
      <c r="B99" s="4"/>
      <c r="C99" s="79" t="s">
        <v>160</v>
      </c>
      <c r="D99" s="25"/>
      <c r="E99" s="46">
        <v>60000</v>
      </c>
      <c r="F99" s="138">
        <v>133665</v>
      </c>
      <c r="G99" s="138">
        <v>133665</v>
      </c>
      <c r="H99" s="138">
        <v>150000</v>
      </c>
      <c r="I99" s="203">
        <f>H99/G99</f>
        <v>1.122208506340478</v>
      </c>
      <c r="J99" s="203">
        <f t="shared" si="2"/>
        <v>0.003262958142163867</v>
      </c>
    </row>
    <row r="100" spans="1:10" ht="12.75">
      <c r="A100" s="158">
        <f t="shared" si="1"/>
        <v>34</v>
      </c>
      <c r="B100" s="4"/>
      <c r="C100" s="79" t="s">
        <v>161</v>
      </c>
      <c r="D100" s="25"/>
      <c r="E100" s="46">
        <f>1000000-900000</f>
        <v>100000</v>
      </c>
      <c r="F100" s="138">
        <f>46000-921</f>
        <v>45079</v>
      </c>
      <c r="G100" s="138">
        <v>45079</v>
      </c>
      <c r="H100" s="138">
        <v>50000</v>
      </c>
      <c r="I100" s="203">
        <f>H100/G100</f>
        <v>1.1091639122429513</v>
      </c>
      <c r="J100" s="203">
        <f t="shared" si="2"/>
        <v>0.0010876527140546222</v>
      </c>
    </row>
    <row r="101" spans="1:10" ht="12.75">
      <c r="A101" s="158">
        <f t="shared" si="1"/>
        <v>35</v>
      </c>
      <c r="B101" s="4"/>
      <c r="C101" s="79" t="s">
        <v>18</v>
      </c>
      <c r="D101" s="25"/>
      <c r="E101" s="46">
        <v>60000</v>
      </c>
      <c r="F101" s="138">
        <v>63660</v>
      </c>
      <c r="G101" s="138">
        <v>63660</v>
      </c>
      <c r="H101" s="138">
        <v>70000</v>
      </c>
      <c r="I101" s="203">
        <f>H101/G101</f>
        <v>1.0995915802701854</v>
      </c>
      <c r="J101" s="203">
        <f t="shared" si="2"/>
        <v>0.001522713799676471</v>
      </c>
    </row>
    <row r="102" spans="1:10" ht="12.75">
      <c r="A102" s="158">
        <f t="shared" si="1"/>
        <v>36</v>
      </c>
      <c r="B102" s="4"/>
      <c r="C102" s="79" t="s">
        <v>19</v>
      </c>
      <c r="D102" s="25"/>
      <c r="E102" s="46">
        <v>23000</v>
      </c>
      <c r="F102" s="138">
        <f>27724+1281</f>
        <v>29005</v>
      </c>
      <c r="G102" s="138">
        <v>29005</v>
      </c>
      <c r="H102" s="138">
        <v>30000</v>
      </c>
      <c r="I102" s="203">
        <f>H102/G102</f>
        <v>1.034304430270643</v>
      </c>
      <c r="J102" s="203">
        <f t="shared" si="2"/>
        <v>0.0006525916284327734</v>
      </c>
    </row>
    <row r="103" spans="1:10" ht="12.75">
      <c r="A103" s="158">
        <f t="shared" si="1"/>
        <v>37</v>
      </c>
      <c r="B103" s="4"/>
      <c r="C103" s="79" t="s">
        <v>365</v>
      </c>
      <c r="D103" s="25"/>
      <c r="E103" s="46"/>
      <c r="F103" s="138"/>
      <c r="G103" s="138"/>
      <c r="H103" s="138"/>
      <c r="I103" s="203"/>
      <c r="J103" s="203"/>
    </row>
    <row r="104" spans="1:10" ht="12.75">
      <c r="A104" s="158">
        <f t="shared" si="1"/>
        <v>38</v>
      </c>
      <c r="B104" s="4"/>
      <c r="C104" s="79" t="s">
        <v>366</v>
      </c>
      <c r="D104" s="25"/>
      <c r="E104" s="46"/>
      <c r="F104" s="138">
        <v>30000</v>
      </c>
      <c r="G104" s="138">
        <v>30000</v>
      </c>
      <c r="H104" s="138">
        <v>0</v>
      </c>
      <c r="I104" s="203">
        <f>H104/G104</f>
        <v>0</v>
      </c>
      <c r="J104" s="203">
        <f t="shared" si="2"/>
        <v>0</v>
      </c>
    </row>
    <row r="105" spans="1:10" ht="12.75">
      <c r="A105" s="158">
        <f t="shared" si="1"/>
        <v>39</v>
      </c>
      <c r="B105" s="4"/>
      <c r="C105" s="79" t="s">
        <v>405</v>
      </c>
      <c r="D105" s="25"/>
      <c r="E105" s="46"/>
      <c r="F105" s="138">
        <v>43303</v>
      </c>
      <c r="G105" s="138">
        <v>43303</v>
      </c>
      <c r="H105" s="138">
        <v>0</v>
      </c>
      <c r="I105" s="203">
        <f>H105/G105</f>
        <v>0</v>
      </c>
      <c r="J105" s="203">
        <f t="shared" si="2"/>
        <v>0</v>
      </c>
    </row>
    <row r="106" spans="1:10" ht="12.75">
      <c r="A106" s="158">
        <f t="shared" si="1"/>
        <v>40</v>
      </c>
      <c r="B106" s="4">
        <v>4430</v>
      </c>
      <c r="C106" s="79" t="s">
        <v>297</v>
      </c>
      <c r="D106" s="25"/>
      <c r="E106" s="46"/>
      <c r="F106" s="138">
        <f>SUM(F108:F109)</f>
        <v>7864</v>
      </c>
      <c r="G106" s="138">
        <f>SUM(G108:G109)</f>
        <v>7861.9400000000005</v>
      </c>
      <c r="H106" s="138">
        <f>SUM(H108:H109)</f>
        <v>7864</v>
      </c>
      <c r="I106" s="203">
        <f>H106/G106</f>
        <v>1.0002620218419371</v>
      </c>
      <c r="J106" s="203">
        <f t="shared" si="2"/>
        <v>0.000171066018866511</v>
      </c>
    </row>
    <row r="107" spans="1:10" ht="12.75">
      <c r="A107" s="158">
        <f t="shared" si="1"/>
        <v>41</v>
      </c>
      <c r="B107" s="4"/>
      <c r="C107" s="79" t="s">
        <v>15</v>
      </c>
      <c r="D107" s="25"/>
      <c r="E107" s="46"/>
      <c r="F107" s="138"/>
      <c r="G107" s="138"/>
      <c r="H107" s="138"/>
      <c r="I107" s="203"/>
      <c r="J107" s="203"/>
    </row>
    <row r="108" spans="1:10" ht="12.75">
      <c r="A108" s="158">
        <f t="shared" si="1"/>
        <v>42</v>
      </c>
      <c r="B108" s="4"/>
      <c r="C108" s="79" t="s">
        <v>298</v>
      </c>
      <c r="D108" s="25"/>
      <c r="E108" s="46"/>
      <c r="F108" s="138">
        <v>6000</v>
      </c>
      <c r="G108" s="138">
        <v>6000</v>
      </c>
      <c r="H108" s="138">
        <v>6000</v>
      </c>
      <c r="I108" s="203">
        <f>H108/G108</f>
        <v>1</v>
      </c>
      <c r="J108" s="203">
        <f t="shared" si="2"/>
        <v>0.00013051832568655467</v>
      </c>
    </row>
    <row r="109" spans="1:10" ht="12.75">
      <c r="A109" s="158">
        <f t="shared" si="1"/>
        <v>43</v>
      </c>
      <c r="B109" s="4"/>
      <c r="C109" s="79" t="s">
        <v>299</v>
      </c>
      <c r="D109" s="25"/>
      <c r="E109" s="46"/>
      <c r="F109" s="138">
        <v>1864</v>
      </c>
      <c r="G109" s="138">
        <v>1861.94</v>
      </c>
      <c r="H109" s="138">
        <v>1864</v>
      </c>
      <c r="I109" s="203">
        <f>H109/G109</f>
        <v>1.0011063729228653</v>
      </c>
      <c r="J109" s="203">
        <f t="shared" si="2"/>
        <v>4.0547693179956316E-05</v>
      </c>
    </row>
    <row r="110" spans="1:10" ht="12.75">
      <c r="A110" s="158">
        <f t="shared" si="1"/>
        <v>44</v>
      </c>
      <c r="B110" s="4">
        <v>6050</v>
      </c>
      <c r="C110" s="79" t="s">
        <v>133</v>
      </c>
      <c r="D110" s="25"/>
      <c r="E110" s="45" t="e">
        <f>SUM(#REF!)</f>
        <v>#REF!</v>
      </c>
      <c r="F110" s="28">
        <f>SUM(F112:F145)</f>
        <v>1665494</v>
      </c>
      <c r="G110" s="28">
        <f>SUM(G112:G145)</f>
        <v>1340493.7600000002</v>
      </c>
      <c r="H110" s="28">
        <f>SUM(H112:H145)</f>
        <v>7226654</v>
      </c>
      <c r="I110" s="203">
        <f>H110/G110</f>
        <v>5.391038895996053</v>
      </c>
      <c r="J110" s="203">
        <f t="shared" si="2"/>
        <v>0.15720179673267384</v>
      </c>
    </row>
    <row r="111" spans="1:10" ht="12.75">
      <c r="A111" s="158">
        <f t="shared" si="1"/>
        <v>45</v>
      </c>
      <c r="B111" s="4"/>
      <c r="C111" s="79" t="s">
        <v>15</v>
      </c>
      <c r="D111" s="25"/>
      <c r="E111" s="46"/>
      <c r="F111" s="138"/>
      <c r="G111" s="138"/>
      <c r="H111" s="138"/>
      <c r="I111" s="203"/>
      <c r="J111" s="203"/>
    </row>
    <row r="112" spans="1:10" ht="12.75">
      <c r="A112" s="158">
        <f t="shared" si="1"/>
        <v>46</v>
      </c>
      <c r="B112" s="4"/>
      <c r="C112" s="79" t="s">
        <v>493</v>
      </c>
      <c r="D112" s="25"/>
      <c r="E112" s="46"/>
      <c r="F112" s="138">
        <f>30500+53.2</f>
        <v>30553.2</v>
      </c>
      <c r="G112" s="138">
        <v>30553.2</v>
      </c>
      <c r="H112" s="138">
        <v>655500</v>
      </c>
      <c r="I112" s="203">
        <f>H112/G112</f>
        <v>21.454381210478772</v>
      </c>
      <c r="J112" s="203">
        <f t="shared" si="2"/>
        <v>0.014259127081256097</v>
      </c>
    </row>
    <row r="113" spans="1:10" ht="12.75">
      <c r="A113" s="158">
        <f t="shared" si="1"/>
        <v>47</v>
      </c>
      <c r="B113" s="4"/>
      <c r="C113" s="106" t="s">
        <v>494</v>
      </c>
      <c r="D113" s="25"/>
      <c r="E113" s="46"/>
      <c r="F113" s="194">
        <v>221040</v>
      </c>
      <c r="G113" s="28">
        <f>169799.6+51240</f>
        <v>221039.6</v>
      </c>
      <c r="H113" s="138">
        <v>1781000</v>
      </c>
      <c r="I113" s="203">
        <f>H113/G113</f>
        <v>8.057379763626065</v>
      </c>
      <c r="J113" s="203">
        <f t="shared" si="2"/>
        <v>0.03874218967462564</v>
      </c>
    </row>
    <row r="114" spans="1:10" ht="12.75">
      <c r="A114" s="158">
        <f t="shared" si="1"/>
        <v>48</v>
      </c>
      <c r="B114" s="4"/>
      <c r="C114" s="79" t="s">
        <v>495</v>
      </c>
      <c r="D114" s="25"/>
      <c r="E114" s="46"/>
      <c r="F114" s="194">
        <v>4270</v>
      </c>
      <c r="G114" s="28">
        <v>4270</v>
      </c>
      <c r="H114" s="138">
        <v>70314</v>
      </c>
      <c r="I114" s="203">
        <f>H114/G114</f>
        <v>16.466978922716628</v>
      </c>
      <c r="J114" s="203">
        <f t="shared" si="2"/>
        <v>0.0015295442587207342</v>
      </c>
    </row>
    <row r="115" spans="1:10" ht="12.75">
      <c r="A115" s="158">
        <f t="shared" si="1"/>
        <v>49</v>
      </c>
      <c r="B115" s="4"/>
      <c r="C115" s="106" t="s">
        <v>496</v>
      </c>
      <c r="D115" s="25"/>
      <c r="E115" s="46"/>
      <c r="F115" s="194">
        <v>600000</v>
      </c>
      <c r="G115" s="28">
        <f>4270+7930+553793.82+21106</f>
        <v>587099.82</v>
      </c>
      <c r="H115" s="138">
        <v>0</v>
      </c>
      <c r="I115" s="203">
        <f>H115/G115</f>
        <v>0</v>
      </c>
      <c r="J115" s="203">
        <f t="shared" si="2"/>
        <v>0</v>
      </c>
    </row>
    <row r="116" spans="1:10" ht="12.75">
      <c r="A116" s="158">
        <f t="shared" si="1"/>
        <v>50</v>
      </c>
      <c r="B116" s="4"/>
      <c r="C116" s="79" t="s">
        <v>348</v>
      </c>
      <c r="D116" s="25"/>
      <c r="E116" s="46"/>
      <c r="F116" s="194"/>
      <c r="G116" s="28"/>
      <c r="H116" s="138"/>
      <c r="I116" s="203"/>
      <c r="J116" s="203"/>
    </row>
    <row r="117" spans="1:10" ht="12.75">
      <c r="A117" s="158">
        <f t="shared" si="1"/>
        <v>51</v>
      </c>
      <c r="B117" s="4"/>
      <c r="C117" s="79" t="s">
        <v>349</v>
      </c>
      <c r="D117" s="25"/>
      <c r="E117" s="46"/>
      <c r="F117" s="194">
        <f>160000-53.2</f>
        <v>159946.8</v>
      </c>
      <c r="G117" s="28">
        <v>146391.68</v>
      </c>
      <c r="H117" s="138">
        <v>0</v>
      </c>
      <c r="I117" s="203">
        <f>H117/G117</f>
        <v>0</v>
      </c>
      <c r="J117" s="203">
        <f t="shared" si="2"/>
        <v>0</v>
      </c>
    </row>
    <row r="118" spans="1:10" ht="13.5" customHeight="1">
      <c r="A118" s="158">
        <f t="shared" si="1"/>
        <v>52</v>
      </c>
      <c r="B118" s="4"/>
      <c r="C118" s="79" t="s">
        <v>397</v>
      </c>
      <c r="D118" s="25"/>
      <c r="E118" s="46"/>
      <c r="F118" s="194">
        <v>160000</v>
      </c>
      <c r="G118" s="28">
        <v>0</v>
      </c>
      <c r="H118" s="138">
        <v>160000</v>
      </c>
      <c r="I118" s="203"/>
      <c r="J118" s="203">
        <f t="shared" si="2"/>
        <v>0.003480488684974791</v>
      </c>
    </row>
    <row r="119" spans="1:10" ht="13.5" customHeight="1">
      <c r="A119" s="158">
        <f t="shared" si="1"/>
        <v>53</v>
      </c>
      <c r="B119" s="4"/>
      <c r="C119" s="79" t="s">
        <v>559</v>
      </c>
      <c r="D119" s="25"/>
      <c r="E119" s="46"/>
      <c r="F119" s="194">
        <f>30000-30000</f>
        <v>0</v>
      </c>
      <c r="G119" s="28">
        <v>0</v>
      </c>
      <c r="H119" s="138">
        <v>0</v>
      </c>
      <c r="I119" s="203"/>
      <c r="J119" s="203">
        <f t="shared" si="2"/>
        <v>0</v>
      </c>
    </row>
    <row r="120" spans="1:10" ht="13.5" customHeight="1">
      <c r="A120" s="158">
        <f t="shared" si="1"/>
        <v>54</v>
      </c>
      <c r="B120" s="4"/>
      <c r="C120" s="106" t="s">
        <v>406</v>
      </c>
      <c r="D120" s="25"/>
      <c r="E120" s="46"/>
      <c r="F120" s="194">
        <v>38864</v>
      </c>
      <c r="G120" s="28">
        <v>67.5</v>
      </c>
      <c r="H120" s="138">
        <v>595000</v>
      </c>
      <c r="I120" s="203"/>
      <c r="J120" s="203">
        <f t="shared" si="2"/>
        <v>0.012943067297250005</v>
      </c>
    </row>
    <row r="121" spans="1:10" ht="13.5" customHeight="1">
      <c r="A121" s="158">
        <f t="shared" si="1"/>
        <v>55</v>
      </c>
      <c r="B121" s="4"/>
      <c r="C121" s="79" t="s">
        <v>497</v>
      </c>
      <c r="D121" s="25"/>
      <c r="E121" s="46"/>
      <c r="F121" s="194">
        <v>30628</v>
      </c>
      <c r="G121" s="28">
        <f>28853+1627.36</f>
        <v>30480.36</v>
      </c>
      <c r="H121" s="138">
        <v>542000</v>
      </c>
      <c r="I121" s="203">
        <f>H121/G121</f>
        <v>17.781942208031662</v>
      </c>
      <c r="J121" s="203">
        <f t="shared" si="2"/>
        <v>0.011790155420352106</v>
      </c>
    </row>
    <row r="122" spans="1:10" ht="13.5" customHeight="1">
      <c r="A122" s="158">
        <f t="shared" si="1"/>
        <v>56</v>
      </c>
      <c r="B122" s="4"/>
      <c r="C122" s="79" t="s">
        <v>407</v>
      </c>
      <c r="D122" s="25"/>
      <c r="E122" s="46"/>
      <c r="F122" s="194">
        <v>5000</v>
      </c>
      <c r="G122" s="28">
        <v>5000</v>
      </c>
      <c r="H122" s="138">
        <v>0</v>
      </c>
      <c r="I122" s="203">
        <f>H122/G122</f>
        <v>0</v>
      </c>
      <c r="J122" s="203">
        <f t="shared" si="2"/>
        <v>0</v>
      </c>
    </row>
    <row r="123" spans="1:10" ht="13.5" customHeight="1">
      <c r="A123" s="158">
        <f t="shared" si="1"/>
        <v>57</v>
      </c>
      <c r="B123" s="4"/>
      <c r="C123" s="79" t="s">
        <v>498</v>
      </c>
      <c r="D123" s="25"/>
      <c r="E123" s="46"/>
      <c r="F123" s="194">
        <v>140300</v>
      </c>
      <c r="G123" s="28">
        <f>98820+41480</f>
        <v>140300</v>
      </c>
      <c r="H123" s="138">
        <v>860000</v>
      </c>
      <c r="I123" s="203">
        <f>H123/G123</f>
        <v>6.129722024233785</v>
      </c>
      <c r="J123" s="203">
        <f t="shared" si="2"/>
        <v>0.018707626681739503</v>
      </c>
    </row>
    <row r="124" spans="1:10" ht="13.5" customHeight="1">
      <c r="A124" s="158">
        <f t="shared" si="1"/>
        <v>58</v>
      </c>
      <c r="B124" s="4"/>
      <c r="C124" s="79" t="s">
        <v>499</v>
      </c>
      <c r="D124" s="25"/>
      <c r="E124" s="46"/>
      <c r="F124" s="194">
        <v>28000</v>
      </c>
      <c r="G124" s="28">
        <v>0</v>
      </c>
      <c r="H124" s="138">
        <v>376300</v>
      </c>
      <c r="I124" s="203"/>
      <c r="J124" s="203">
        <f t="shared" si="2"/>
        <v>0.008185674325975088</v>
      </c>
    </row>
    <row r="125" spans="1:10" ht="13.5" customHeight="1">
      <c r="A125" s="158">
        <f t="shared" si="1"/>
        <v>59</v>
      </c>
      <c r="B125" s="4"/>
      <c r="C125" s="79" t="s">
        <v>500</v>
      </c>
      <c r="D125" s="25"/>
      <c r="E125" s="46"/>
      <c r="F125" s="194">
        <v>45752</v>
      </c>
      <c r="G125" s="28">
        <f>45020+732</f>
        <v>45752</v>
      </c>
      <c r="H125" s="138">
        <v>0</v>
      </c>
      <c r="I125" s="203">
        <f>H125/G125</f>
        <v>0</v>
      </c>
      <c r="J125" s="203">
        <f t="shared" si="2"/>
        <v>0</v>
      </c>
    </row>
    <row r="126" spans="1:10" ht="13.5" customHeight="1">
      <c r="A126" s="158">
        <f t="shared" si="1"/>
        <v>60</v>
      </c>
      <c r="B126" s="4"/>
      <c r="C126" s="79" t="s">
        <v>501</v>
      </c>
      <c r="D126" s="25"/>
      <c r="E126" s="46"/>
      <c r="F126" s="194">
        <v>60000</v>
      </c>
      <c r="G126" s="28">
        <v>59999.6</v>
      </c>
      <c r="H126" s="138">
        <v>0</v>
      </c>
      <c r="I126" s="203"/>
      <c r="J126" s="203">
        <f t="shared" si="2"/>
        <v>0</v>
      </c>
    </row>
    <row r="127" spans="1:10" ht="13.5" customHeight="1">
      <c r="A127" s="158">
        <f t="shared" si="1"/>
        <v>61</v>
      </c>
      <c r="B127" s="4"/>
      <c r="C127" s="79" t="s">
        <v>609</v>
      </c>
      <c r="D127" s="25"/>
      <c r="E127" s="46"/>
      <c r="F127" s="194"/>
      <c r="G127" s="28"/>
      <c r="H127" s="138"/>
      <c r="I127" s="203"/>
      <c r="J127" s="203"/>
    </row>
    <row r="128" spans="1:10" ht="13.5" customHeight="1">
      <c r="A128" s="158">
        <f t="shared" si="1"/>
        <v>62</v>
      </c>
      <c r="B128" s="4"/>
      <c r="C128" s="79" t="s">
        <v>610</v>
      </c>
      <c r="D128" s="25"/>
      <c r="E128" s="46"/>
      <c r="F128" s="194">
        <v>69600</v>
      </c>
      <c r="G128" s="28">
        <v>69540</v>
      </c>
      <c r="H128" s="138">
        <v>655000</v>
      </c>
      <c r="I128" s="203"/>
      <c r="J128" s="203">
        <f t="shared" si="2"/>
        <v>0.014248250554115553</v>
      </c>
    </row>
    <row r="129" spans="1:10" ht="13.5" customHeight="1">
      <c r="A129" s="158">
        <f t="shared" si="1"/>
        <v>63</v>
      </c>
      <c r="B129" s="4"/>
      <c r="C129" s="79" t="s">
        <v>578</v>
      </c>
      <c r="D129" s="25"/>
      <c r="E129" s="46"/>
      <c r="F129" s="194"/>
      <c r="G129" s="28"/>
      <c r="H129" s="138"/>
      <c r="I129" s="203"/>
      <c r="J129" s="203"/>
    </row>
    <row r="130" spans="1:10" ht="13.5" customHeight="1">
      <c r="A130" s="158">
        <f t="shared" si="1"/>
        <v>64</v>
      </c>
      <c r="B130" s="4"/>
      <c r="C130" s="79" t="s">
        <v>579</v>
      </c>
      <c r="D130" s="25"/>
      <c r="E130" s="46"/>
      <c r="F130" s="194"/>
      <c r="G130" s="28"/>
      <c r="H130" s="138"/>
      <c r="I130" s="203"/>
      <c r="J130" s="203"/>
    </row>
    <row r="131" spans="1:10" ht="13.5" customHeight="1">
      <c r="A131" s="158">
        <f t="shared" si="1"/>
        <v>65</v>
      </c>
      <c r="B131" s="4"/>
      <c r="C131" s="79" t="s">
        <v>580</v>
      </c>
      <c r="D131" s="25"/>
      <c r="E131" s="46"/>
      <c r="F131" s="194"/>
      <c r="G131" s="28"/>
      <c r="H131" s="138"/>
      <c r="I131" s="203"/>
      <c r="J131" s="203"/>
    </row>
    <row r="132" spans="1:10" ht="13.5" customHeight="1">
      <c r="A132" s="158">
        <f t="shared" si="1"/>
        <v>66</v>
      </c>
      <c r="B132" s="4"/>
      <c r="C132" s="79" t="s">
        <v>581</v>
      </c>
      <c r="D132" s="25"/>
      <c r="E132" s="46"/>
      <c r="F132" s="194"/>
      <c r="G132" s="28"/>
      <c r="H132" s="138"/>
      <c r="I132" s="203"/>
      <c r="J132" s="203"/>
    </row>
    <row r="133" spans="1:10" ht="13.5" customHeight="1">
      <c r="A133" s="158">
        <f t="shared" si="1"/>
        <v>67</v>
      </c>
      <c r="B133" s="4"/>
      <c r="C133" s="79" t="s">
        <v>582</v>
      </c>
      <c r="D133" s="25"/>
      <c r="E133" s="46"/>
      <c r="F133" s="194"/>
      <c r="G133" s="28"/>
      <c r="H133" s="138"/>
      <c r="I133" s="203"/>
      <c r="J133" s="203"/>
    </row>
    <row r="134" spans="1:10" ht="13.5" customHeight="1">
      <c r="A134" s="158">
        <f t="shared" si="1"/>
        <v>68</v>
      </c>
      <c r="B134" s="4"/>
      <c r="C134" s="79" t="s">
        <v>583</v>
      </c>
      <c r="D134" s="25"/>
      <c r="E134" s="46"/>
      <c r="F134" s="194"/>
      <c r="G134" s="28"/>
      <c r="H134" s="138"/>
      <c r="I134" s="203"/>
      <c r="J134" s="203"/>
    </row>
    <row r="135" spans="1:10" ht="13.5" customHeight="1">
      <c r="A135" s="158">
        <f t="shared" si="1"/>
        <v>69</v>
      </c>
      <c r="B135" s="4"/>
      <c r="C135" s="79" t="s">
        <v>584</v>
      </c>
      <c r="D135" s="25"/>
      <c r="E135" s="46"/>
      <c r="F135" s="194">
        <v>71540</v>
      </c>
      <c r="G135" s="28">
        <v>0</v>
      </c>
      <c r="H135" s="138">
        <v>71540</v>
      </c>
      <c r="I135" s="203"/>
      <c r="J135" s="203">
        <f aca="true" t="shared" si="3" ref="J135:J145">H135/$H$1363</f>
        <v>0.0015562135032693536</v>
      </c>
    </row>
    <row r="136" spans="1:10" ht="13.5" customHeight="1">
      <c r="A136" s="158">
        <f t="shared" si="1"/>
        <v>70</v>
      </c>
      <c r="B136" s="4"/>
      <c r="C136" s="79" t="s">
        <v>611</v>
      </c>
      <c r="D136" s="25"/>
      <c r="E136" s="46"/>
      <c r="F136" s="194">
        <v>0</v>
      </c>
      <c r="G136" s="28">
        <v>0</v>
      </c>
      <c r="H136" s="138">
        <v>80000</v>
      </c>
      <c r="I136" s="203"/>
      <c r="J136" s="203">
        <f t="shared" si="3"/>
        <v>0.0017402443424873956</v>
      </c>
    </row>
    <row r="137" spans="1:10" ht="13.5" customHeight="1">
      <c r="A137" s="158">
        <f t="shared" si="1"/>
        <v>71</v>
      </c>
      <c r="B137" s="4"/>
      <c r="C137" s="79" t="s">
        <v>612</v>
      </c>
      <c r="D137" s="25"/>
      <c r="E137" s="46"/>
      <c r="F137" s="194"/>
      <c r="G137" s="28"/>
      <c r="H137" s="138"/>
      <c r="I137" s="203"/>
      <c r="J137" s="203"/>
    </row>
    <row r="138" spans="1:10" ht="13.5" customHeight="1">
      <c r="A138" s="158">
        <f t="shared" si="1"/>
        <v>72</v>
      </c>
      <c r="B138" s="4"/>
      <c r="C138" s="79" t="s">
        <v>613</v>
      </c>
      <c r="D138" s="25"/>
      <c r="E138" s="46"/>
      <c r="F138" s="194">
        <v>0</v>
      </c>
      <c r="G138" s="28">
        <v>0</v>
      </c>
      <c r="H138" s="138">
        <v>40000</v>
      </c>
      <c r="I138" s="203"/>
      <c r="J138" s="203">
        <f t="shared" si="3"/>
        <v>0.0008701221712436978</v>
      </c>
    </row>
    <row r="139" spans="1:10" ht="13.5" customHeight="1">
      <c r="A139" s="158">
        <f t="shared" si="1"/>
        <v>73</v>
      </c>
      <c r="B139" s="4"/>
      <c r="C139" s="79" t="s">
        <v>614</v>
      </c>
      <c r="D139" s="25"/>
      <c r="E139" s="46"/>
      <c r="F139" s="194"/>
      <c r="G139" s="28"/>
      <c r="H139" s="138"/>
      <c r="I139" s="203"/>
      <c r="J139" s="203"/>
    </row>
    <row r="140" spans="1:10" ht="13.5" customHeight="1">
      <c r="A140" s="158">
        <f t="shared" si="1"/>
        <v>74</v>
      </c>
      <c r="B140" s="4"/>
      <c r="C140" s="79" t="s">
        <v>615</v>
      </c>
      <c r="D140" s="25"/>
      <c r="E140" s="46"/>
      <c r="F140" s="194">
        <v>0</v>
      </c>
      <c r="G140" s="28">
        <v>0</v>
      </c>
      <c r="H140" s="138">
        <v>200000</v>
      </c>
      <c r="I140" s="203"/>
      <c r="J140" s="203">
        <f t="shared" si="3"/>
        <v>0.004350610856218489</v>
      </c>
    </row>
    <row r="141" spans="1:10" ht="13.5" customHeight="1">
      <c r="A141" s="158">
        <f t="shared" si="1"/>
        <v>75</v>
      </c>
      <c r="B141" s="4"/>
      <c r="C141" s="79" t="s">
        <v>616</v>
      </c>
      <c r="D141" s="25"/>
      <c r="E141" s="46"/>
      <c r="F141" s="194"/>
      <c r="G141" s="28"/>
      <c r="H141" s="138"/>
      <c r="I141" s="203"/>
      <c r="J141" s="203"/>
    </row>
    <row r="142" spans="1:10" ht="13.5" customHeight="1">
      <c r="A142" s="158">
        <f t="shared" si="1"/>
        <v>76</v>
      </c>
      <c r="B142" s="4"/>
      <c r="C142" s="79" t="s">
        <v>617</v>
      </c>
      <c r="D142" s="25"/>
      <c r="E142" s="46"/>
      <c r="F142" s="194">
        <v>0</v>
      </c>
      <c r="G142" s="28">
        <v>0</v>
      </c>
      <c r="H142" s="138">
        <v>250000</v>
      </c>
      <c r="I142" s="203"/>
      <c r="J142" s="203">
        <f t="shared" si="3"/>
        <v>0.005438263570273111</v>
      </c>
    </row>
    <row r="143" spans="1:10" ht="13.5" customHeight="1">
      <c r="A143" s="158">
        <f t="shared" si="1"/>
        <v>77</v>
      </c>
      <c r="B143" s="4"/>
      <c r="C143" s="79" t="s">
        <v>618</v>
      </c>
      <c r="D143" s="25"/>
      <c r="E143" s="46"/>
      <c r="F143" s="194">
        <v>0</v>
      </c>
      <c r="G143" s="28">
        <v>0</v>
      </c>
      <c r="H143" s="138">
        <v>800000</v>
      </c>
      <c r="I143" s="203"/>
      <c r="J143" s="203">
        <f t="shared" si="3"/>
        <v>0.017402443424873956</v>
      </c>
    </row>
    <row r="144" spans="1:10" ht="13.5" customHeight="1">
      <c r="A144" s="158">
        <f t="shared" si="1"/>
        <v>78</v>
      </c>
      <c r="B144" s="4"/>
      <c r="C144" s="79" t="s">
        <v>619</v>
      </c>
      <c r="D144" s="25"/>
      <c r="E144" s="46"/>
      <c r="F144" s="194"/>
      <c r="G144" s="28"/>
      <c r="H144" s="138"/>
      <c r="I144" s="203"/>
      <c r="J144" s="203"/>
    </row>
    <row r="145" spans="1:10" ht="13.5" customHeight="1">
      <c r="A145" s="158">
        <f t="shared" si="1"/>
        <v>79</v>
      </c>
      <c r="B145" s="4"/>
      <c r="C145" s="79" t="s">
        <v>620</v>
      </c>
      <c r="D145" s="25"/>
      <c r="E145" s="46"/>
      <c r="F145" s="194">
        <v>0</v>
      </c>
      <c r="G145" s="28">
        <v>0</v>
      </c>
      <c r="H145" s="138">
        <v>90000</v>
      </c>
      <c r="I145" s="203"/>
      <c r="J145" s="203">
        <f t="shared" si="3"/>
        <v>0.00195777488529832</v>
      </c>
    </row>
    <row r="146" spans="1:10" ht="13.5" customHeight="1">
      <c r="A146" s="158">
        <f t="shared" si="1"/>
        <v>80</v>
      </c>
      <c r="B146" s="4">
        <v>6060</v>
      </c>
      <c r="C146" s="79" t="s">
        <v>390</v>
      </c>
      <c r="D146" s="25"/>
      <c r="E146" s="46"/>
      <c r="F146" s="194"/>
      <c r="G146" s="28"/>
      <c r="H146" s="138"/>
      <c r="I146" s="203"/>
      <c r="J146" s="203"/>
    </row>
    <row r="147" spans="1:10" ht="13.5" customHeight="1">
      <c r="A147" s="158">
        <f t="shared" si="1"/>
        <v>81</v>
      </c>
      <c r="B147" s="4"/>
      <c r="C147" s="79" t="s">
        <v>391</v>
      </c>
      <c r="D147" s="25"/>
      <c r="E147" s="46"/>
      <c r="F147" s="194"/>
      <c r="G147" s="28"/>
      <c r="H147" s="138"/>
      <c r="I147" s="203"/>
      <c r="J147" s="203"/>
    </row>
    <row r="148" spans="1:10" ht="13.5" customHeight="1">
      <c r="A148" s="158">
        <f t="shared" si="1"/>
        <v>82</v>
      </c>
      <c r="B148" s="4"/>
      <c r="C148" s="79" t="s">
        <v>392</v>
      </c>
      <c r="D148" s="25"/>
      <c r="E148" s="46"/>
      <c r="F148" s="28">
        <v>20000</v>
      </c>
      <c r="G148" s="194">
        <v>16348</v>
      </c>
      <c r="H148" s="194">
        <v>0</v>
      </c>
      <c r="I148" s="208">
        <f>H148/G148</f>
        <v>0</v>
      </c>
      <c r="J148" s="203">
        <f aca="true" t="shared" si="4" ref="J148:J154">H148/$H$1363</f>
        <v>0</v>
      </c>
    </row>
    <row r="149" spans="1:10" ht="12.75">
      <c r="A149" s="158">
        <f t="shared" si="1"/>
        <v>83</v>
      </c>
      <c r="B149" s="62">
        <v>60095</v>
      </c>
      <c r="C149" s="68" t="s">
        <v>25</v>
      </c>
      <c r="D149" s="25"/>
      <c r="E149" s="46"/>
      <c r="F149" s="63">
        <f>F151+F152+F158+F163</f>
        <v>346000</v>
      </c>
      <c r="G149" s="63">
        <f>G151+G152+G158+G163</f>
        <v>322487.7</v>
      </c>
      <c r="H149" s="63">
        <f>H151+H152+H158+H163</f>
        <v>120000</v>
      </c>
      <c r="I149" s="203">
        <f>H149/G149</f>
        <v>0.3721072152519305</v>
      </c>
      <c r="J149" s="203">
        <f t="shared" si="4"/>
        <v>0.0026103665137310935</v>
      </c>
    </row>
    <row r="150" spans="1:10" s="177" customFormat="1" ht="12.75">
      <c r="A150" s="158">
        <f t="shared" si="1"/>
        <v>84</v>
      </c>
      <c r="B150" s="137">
        <v>4270</v>
      </c>
      <c r="C150" s="40" t="s">
        <v>135</v>
      </c>
      <c r="D150" s="157"/>
      <c r="E150" s="161"/>
      <c r="F150" s="157"/>
      <c r="G150" s="157"/>
      <c r="H150" s="157"/>
      <c r="I150" s="203"/>
      <c r="J150" s="203"/>
    </row>
    <row r="151" spans="1:10" ht="12.75">
      <c r="A151" s="158">
        <f t="shared" si="1"/>
        <v>85</v>
      </c>
      <c r="B151" s="62"/>
      <c r="C151" s="40" t="s">
        <v>408</v>
      </c>
      <c r="D151" s="25"/>
      <c r="E151" s="46"/>
      <c r="F151" s="28">
        <v>11000</v>
      </c>
      <c r="G151" s="28">
        <v>3937.75</v>
      </c>
      <c r="H151" s="28">
        <v>0</v>
      </c>
      <c r="I151" s="203">
        <f>H151/G151</f>
        <v>0</v>
      </c>
      <c r="J151" s="203">
        <f t="shared" si="4"/>
        <v>0</v>
      </c>
    </row>
    <row r="152" spans="1:10" ht="12.75">
      <c r="A152" s="158">
        <f t="shared" si="1"/>
        <v>86</v>
      </c>
      <c r="B152" s="15">
        <v>4300</v>
      </c>
      <c r="C152" s="120" t="s">
        <v>243</v>
      </c>
      <c r="D152" s="25"/>
      <c r="E152" s="46"/>
      <c r="F152" s="138">
        <f>SUM(F154:F157)</f>
        <v>123000</v>
      </c>
      <c r="G152" s="138">
        <f>SUM(G154:G157)</f>
        <v>122965.06</v>
      </c>
      <c r="H152" s="138">
        <f>SUM(H154:H157)</f>
        <v>120000</v>
      </c>
      <c r="I152" s="203">
        <f>H152/G152</f>
        <v>0.9758869714697818</v>
      </c>
      <c r="J152" s="203">
        <f t="shared" si="4"/>
        <v>0.0026103665137310935</v>
      </c>
    </row>
    <row r="153" spans="1:10" ht="12.75">
      <c r="A153" s="158">
        <f t="shared" si="1"/>
        <v>87</v>
      </c>
      <c r="B153" s="15"/>
      <c r="C153" s="120" t="s">
        <v>15</v>
      </c>
      <c r="D153" s="25"/>
      <c r="E153" s="46"/>
      <c r="F153" s="138"/>
      <c r="G153" s="138"/>
      <c r="H153" s="138"/>
      <c r="I153" s="203"/>
      <c r="J153" s="203"/>
    </row>
    <row r="154" spans="1:10" ht="12.75">
      <c r="A154" s="158">
        <f t="shared" si="1"/>
        <v>88</v>
      </c>
      <c r="B154" s="15"/>
      <c r="C154" s="120" t="s">
        <v>409</v>
      </c>
      <c r="D154" s="25"/>
      <c r="E154" s="46"/>
      <c r="F154" s="138">
        <v>3000</v>
      </c>
      <c r="G154" s="138">
        <v>2965.06</v>
      </c>
      <c r="H154" s="138">
        <v>0</v>
      </c>
      <c r="I154" s="203">
        <f aca="true" t="shared" si="5" ref="I154:I212">H154/G154</f>
        <v>0</v>
      </c>
      <c r="J154" s="203">
        <f t="shared" si="4"/>
        <v>0</v>
      </c>
    </row>
    <row r="155" spans="1:10" ht="12.75">
      <c r="A155" s="158">
        <f t="shared" si="1"/>
        <v>89</v>
      </c>
      <c r="B155" s="15"/>
      <c r="C155" s="120" t="s">
        <v>367</v>
      </c>
      <c r="D155" s="25"/>
      <c r="E155" s="46"/>
      <c r="F155" s="138"/>
      <c r="G155" s="138"/>
      <c r="H155" s="138"/>
      <c r="I155" s="203"/>
      <c r="J155" s="203"/>
    </row>
    <row r="156" spans="1:10" ht="12.75">
      <c r="A156" s="158">
        <f t="shared" si="1"/>
        <v>90</v>
      </c>
      <c r="B156" s="15"/>
      <c r="C156" s="120" t="s">
        <v>368</v>
      </c>
      <c r="D156" s="25"/>
      <c r="E156" s="46"/>
      <c r="F156" s="138"/>
      <c r="G156" s="138"/>
      <c r="H156" s="138"/>
      <c r="I156" s="203"/>
      <c r="J156" s="203"/>
    </row>
    <row r="157" spans="1:10" ht="12.75">
      <c r="A157" s="158">
        <f t="shared" si="1"/>
        <v>91</v>
      </c>
      <c r="B157" s="15"/>
      <c r="C157" s="120" t="s">
        <v>244</v>
      </c>
      <c r="D157" s="25"/>
      <c r="E157" s="46"/>
      <c r="F157" s="138">
        <v>120000</v>
      </c>
      <c r="G157" s="138">
        <v>120000</v>
      </c>
      <c r="H157" s="138">
        <v>120000</v>
      </c>
      <c r="I157" s="203">
        <f t="shared" si="5"/>
        <v>1</v>
      </c>
      <c r="J157" s="203">
        <f>H157/$H$1363</f>
        <v>0.0026103665137310935</v>
      </c>
    </row>
    <row r="158" spans="1:10" ht="12.75">
      <c r="A158" s="158">
        <f t="shared" si="1"/>
        <v>92</v>
      </c>
      <c r="B158" s="15">
        <v>6050</v>
      </c>
      <c r="C158" s="79" t="s">
        <v>133</v>
      </c>
      <c r="D158" s="25"/>
      <c r="E158" s="46"/>
      <c r="F158" s="138">
        <f>SUM(F160:F161)</f>
        <v>176000</v>
      </c>
      <c r="G158" s="138">
        <f>SUM(G160:G161)</f>
        <v>167286.99</v>
      </c>
      <c r="H158" s="138">
        <f>SUM(H160:H161)</f>
        <v>0</v>
      </c>
      <c r="I158" s="203">
        <f t="shared" si="5"/>
        <v>0</v>
      </c>
      <c r="J158" s="203">
        <f>H158/$H$1363</f>
        <v>0</v>
      </c>
    </row>
    <row r="159" spans="1:10" ht="12.75">
      <c r="A159" s="158">
        <f aca="true" t="shared" si="6" ref="A159:A221">A158+1</f>
        <v>93</v>
      </c>
      <c r="B159" s="15"/>
      <c r="C159" s="79" t="s">
        <v>15</v>
      </c>
      <c r="D159" s="25"/>
      <c r="E159" s="46"/>
      <c r="F159" s="138"/>
      <c r="G159" s="138"/>
      <c r="H159" s="138"/>
      <c r="I159" s="203"/>
      <c r="J159" s="203"/>
    </row>
    <row r="160" spans="1:10" ht="12.75">
      <c r="A160" s="158">
        <f t="shared" si="6"/>
        <v>94</v>
      </c>
      <c r="B160" s="15"/>
      <c r="C160" s="120" t="s">
        <v>502</v>
      </c>
      <c r="D160" s="25"/>
      <c r="E160" s="46"/>
      <c r="F160" s="138">
        <v>100000</v>
      </c>
      <c r="G160" s="138">
        <v>92720</v>
      </c>
      <c r="H160" s="138">
        <v>0</v>
      </c>
      <c r="I160" s="203">
        <f t="shared" si="5"/>
        <v>0</v>
      </c>
      <c r="J160" s="203">
        <f>H160/$H$1363</f>
        <v>0</v>
      </c>
    </row>
    <row r="161" spans="1:10" ht="12.75">
      <c r="A161" s="158">
        <f t="shared" si="6"/>
        <v>95</v>
      </c>
      <c r="B161" s="15"/>
      <c r="C161" s="120" t="s">
        <v>503</v>
      </c>
      <c r="D161" s="25"/>
      <c r="E161" s="46"/>
      <c r="F161" s="138">
        <v>76000</v>
      </c>
      <c r="G161" s="138">
        <v>74566.99</v>
      </c>
      <c r="H161" s="138">
        <v>0</v>
      </c>
      <c r="I161" s="203">
        <f t="shared" si="5"/>
        <v>0</v>
      </c>
      <c r="J161" s="203">
        <f>H161/$H$1363</f>
        <v>0</v>
      </c>
    </row>
    <row r="162" spans="1:10" ht="12.75">
      <c r="A162" s="158">
        <f t="shared" si="6"/>
        <v>96</v>
      </c>
      <c r="B162" s="15">
        <v>6060</v>
      </c>
      <c r="C162" s="79" t="s">
        <v>390</v>
      </c>
      <c r="D162" s="25"/>
      <c r="E162" s="46"/>
      <c r="F162" s="138"/>
      <c r="G162" s="138"/>
      <c r="H162" s="138"/>
      <c r="I162" s="203"/>
      <c r="J162" s="203"/>
    </row>
    <row r="163" spans="1:10" ht="12.75">
      <c r="A163" s="158">
        <f t="shared" si="6"/>
        <v>97</v>
      </c>
      <c r="B163" s="15"/>
      <c r="C163" s="120" t="s">
        <v>410</v>
      </c>
      <c r="D163" s="25"/>
      <c r="E163" s="46"/>
      <c r="F163" s="138">
        <v>36000</v>
      </c>
      <c r="G163" s="138">
        <v>28297.9</v>
      </c>
      <c r="H163" s="138">
        <v>0</v>
      </c>
      <c r="I163" s="203">
        <f t="shared" si="5"/>
        <v>0</v>
      </c>
      <c r="J163" s="203">
        <f>H163/$H$1363</f>
        <v>0</v>
      </c>
    </row>
    <row r="164" spans="1:10" s="70" customFormat="1" ht="12.75">
      <c r="A164" s="158">
        <f t="shared" si="6"/>
        <v>98</v>
      </c>
      <c r="B164" s="56">
        <v>630</v>
      </c>
      <c r="C164" s="78" t="s">
        <v>127</v>
      </c>
      <c r="D164" s="58"/>
      <c r="E164" s="59" t="e">
        <f>E165</f>
        <v>#REF!</v>
      </c>
      <c r="F164" s="58">
        <f>F165</f>
        <v>284683</v>
      </c>
      <c r="G164" s="58">
        <f>G165</f>
        <v>283203.61</v>
      </c>
      <c r="H164" s="58">
        <f>H165</f>
        <v>650000</v>
      </c>
      <c r="I164" s="203">
        <f t="shared" si="5"/>
        <v>2.2951684831983603</v>
      </c>
      <c r="J164" s="203">
        <f>H164/$H$1363</f>
        <v>0.01413948528271009</v>
      </c>
    </row>
    <row r="165" spans="1:10" s="73" customFormat="1" ht="12.75">
      <c r="A165" s="158">
        <f t="shared" si="6"/>
        <v>99</v>
      </c>
      <c r="B165" s="62">
        <v>63095</v>
      </c>
      <c r="C165" s="68" t="s">
        <v>25</v>
      </c>
      <c r="D165" s="63"/>
      <c r="E165" s="64" t="e">
        <f>#REF!+E166+#REF!</f>
        <v>#REF!</v>
      </c>
      <c r="F165" s="63">
        <f>F166+F171</f>
        <v>284683</v>
      </c>
      <c r="G165" s="63">
        <f>G166+G171</f>
        <v>283203.61</v>
      </c>
      <c r="H165" s="63">
        <f>H166+H171</f>
        <v>650000</v>
      </c>
      <c r="I165" s="203">
        <f t="shared" si="5"/>
        <v>2.2951684831983603</v>
      </c>
      <c r="J165" s="203">
        <f>H165/$H$1363</f>
        <v>0.01413948528271009</v>
      </c>
    </row>
    <row r="166" spans="1:10" ht="12.75">
      <c r="A166" s="158">
        <f t="shared" si="6"/>
        <v>100</v>
      </c>
      <c r="B166" s="15">
        <v>4300</v>
      </c>
      <c r="C166" s="120" t="s">
        <v>134</v>
      </c>
      <c r="D166" s="25"/>
      <c r="E166" s="51">
        <f>E168</f>
        <v>70000</v>
      </c>
      <c r="F166" s="149">
        <f>SUM(F168:F168)</f>
        <v>284683</v>
      </c>
      <c r="G166" s="149">
        <f>SUM(G168:G168)</f>
        <v>283203.61</v>
      </c>
      <c r="H166" s="149">
        <f>SUM(H168:H168)</f>
        <v>350000</v>
      </c>
      <c r="I166" s="203">
        <f t="shared" si="5"/>
        <v>1.2358599524914249</v>
      </c>
      <c r="J166" s="203">
        <f>H166/$H$1363</f>
        <v>0.007613568998382356</v>
      </c>
    </row>
    <row r="167" spans="1:10" ht="12.75">
      <c r="A167" s="158">
        <f t="shared" si="6"/>
        <v>101</v>
      </c>
      <c r="B167" s="15"/>
      <c r="C167" s="120" t="s">
        <v>15</v>
      </c>
      <c r="D167" s="25"/>
      <c r="E167" s="46"/>
      <c r="F167" s="138"/>
      <c r="G167" s="138"/>
      <c r="H167" s="138"/>
      <c r="I167" s="203"/>
      <c r="J167" s="203"/>
    </row>
    <row r="168" spans="1:10" ht="13.5" customHeight="1">
      <c r="A168" s="158">
        <f t="shared" si="6"/>
        <v>102</v>
      </c>
      <c r="B168" s="15"/>
      <c r="C168" s="120" t="s">
        <v>60</v>
      </c>
      <c r="D168" s="25"/>
      <c r="E168" s="46">
        <v>70000</v>
      </c>
      <c r="F168" s="138">
        <v>284683</v>
      </c>
      <c r="G168" s="138">
        <f>266623+16580.61</f>
        <v>283203.61</v>
      </c>
      <c r="H168" s="138">
        <v>350000</v>
      </c>
      <c r="I168" s="203">
        <f t="shared" si="5"/>
        <v>1.2358599524914249</v>
      </c>
      <c r="J168" s="203">
        <f>H168/$H$1363</f>
        <v>0.007613568998382356</v>
      </c>
    </row>
    <row r="169" spans="1:10" ht="13.5" customHeight="1">
      <c r="A169" s="158">
        <f t="shared" si="6"/>
        <v>103</v>
      </c>
      <c r="B169" s="15">
        <v>6050</v>
      </c>
      <c r="C169" s="79" t="s">
        <v>133</v>
      </c>
      <c r="D169" s="25"/>
      <c r="E169" s="46"/>
      <c r="F169" s="138"/>
      <c r="G169" s="138"/>
      <c r="H169" s="138"/>
      <c r="I169" s="203"/>
      <c r="J169" s="203"/>
    </row>
    <row r="170" spans="1:10" ht="13.5" customHeight="1">
      <c r="A170" s="158">
        <f t="shared" si="6"/>
        <v>104</v>
      </c>
      <c r="B170" s="15"/>
      <c r="C170" s="123" t="s">
        <v>621</v>
      </c>
      <c r="D170" s="25"/>
      <c r="E170" s="46"/>
      <c r="F170" s="138"/>
      <c r="G170" s="138"/>
      <c r="H170" s="138"/>
      <c r="I170" s="203"/>
      <c r="J170" s="203"/>
    </row>
    <row r="171" spans="1:10" ht="13.5" customHeight="1">
      <c r="A171" s="158">
        <f t="shared" si="6"/>
        <v>105</v>
      </c>
      <c r="B171" s="15"/>
      <c r="C171" s="123" t="s">
        <v>622</v>
      </c>
      <c r="D171" s="25"/>
      <c r="E171" s="46"/>
      <c r="F171" s="138">
        <v>0</v>
      </c>
      <c r="G171" s="138">
        <v>0</v>
      </c>
      <c r="H171" s="138">
        <v>300000</v>
      </c>
      <c r="I171" s="203"/>
      <c r="J171" s="203">
        <f>H171/$H$1363</f>
        <v>0.006525916284327734</v>
      </c>
    </row>
    <row r="172" spans="1:10" s="1" customFormat="1" ht="12.75">
      <c r="A172" s="158">
        <f t="shared" si="6"/>
        <v>106</v>
      </c>
      <c r="B172" s="56">
        <v>700</v>
      </c>
      <c r="C172" s="78" t="s">
        <v>98</v>
      </c>
      <c r="D172" s="25"/>
      <c r="E172" s="42" t="e">
        <f>#REF!+E173+#REF!+E199</f>
        <v>#REF!</v>
      </c>
      <c r="F172" s="25">
        <f>F173+F199</f>
        <v>8498830</v>
      </c>
      <c r="G172" s="25">
        <f>G173+G199</f>
        <v>8079656.1</v>
      </c>
      <c r="H172" s="25">
        <f>H173+H199</f>
        <v>1687286</v>
      </c>
      <c r="I172" s="203">
        <f t="shared" si="5"/>
        <v>0.20883141301026414</v>
      </c>
      <c r="J172" s="203">
        <f>H172/$H$1363</f>
        <v>0.03670362394572735</v>
      </c>
    </row>
    <row r="173" spans="1:10" s="67" customFormat="1" ht="12.75">
      <c r="A173" s="158">
        <f t="shared" si="6"/>
        <v>107</v>
      </c>
      <c r="B173" s="62">
        <v>70005</v>
      </c>
      <c r="C173" s="68" t="s">
        <v>99</v>
      </c>
      <c r="D173" s="66"/>
      <c r="E173" s="64">
        <f>E174+E183+E192</f>
        <v>82000</v>
      </c>
      <c r="F173" s="63">
        <f>F174+F183+F189+F190+F192</f>
        <v>593200</v>
      </c>
      <c r="G173" s="63">
        <f>G174+G183+G189+G190+G192</f>
        <v>223199.56</v>
      </c>
      <c r="H173" s="63">
        <f>H174+H183+H189+H190+H192</f>
        <v>473500</v>
      </c>
      <c r="I173" s="203">
        <f t="shared" si="5"/>
        <v>2.1214199526199784</v>
      </c>
      <c r="J173" s="203">
        <f>H173/$H$1363</f>
        <v>0.010300071202097272</v>
      </c>
    </row>
    <row r="174" spans="1:10" ht="12.75">
      <c r="A174" s="158">
        <f t="shared" si="6"/>
        <v>108</v>
      </c>
      <c r="B174" s="4">
        <v>4300</v>
      </c>
      <c r="C174" s="120" t="s">
        <v>134</v>
      </c>
      <c r="D174" s="25"/>
      <c r="E174" s="45">
        <f>SUM(E176:E180)</f>
        <v>52000</v>
      </c>
      <c r="F174" s="28">
        <f>SUM(F176:F182)</f>
        <v>106450</v>
      </c>
      <c r="G174" s="28">
        <f>SUM(G176:G182)</f>
        <v>106450</v>
      </c>
      <c r="H174" s="28">
        <f>SUM(H176:H182)</f>
        <v>108500</v>
      </c>
      <c r="I174" s="203">
        <f t="shared" si="5"/>
        <v>1.0192578675434476</v>
      </c>
      <c r="J174" s="203">
        <f>H174/$H$1363</f>
        <v>0.0023602063894985303</v>
      </c>
    </row>
    <row r="175" spans="1:10" ht="12.75">
      <c r="A175" s="158">
        <f t="shared" si="6"/>
        <v>109</v>
      </c>
      <c r="B175" s="4"/>
      <c r="C175" s="79" t="s">
        <v>15</v>
      </c>
      <c r="D175" s="25"/>
      <c r="E175" s="46"/>
      <c r="F175" s="138"/>
      <c r="G175" s="138"/>
      <c r="H175" s="138"/>
      <c r="I175" s="203"/>
      <c r="J175" s="203"/>
    </row>
    <row r="176" spans="1:10" ht="12.75">
      <c r="A176" s="158">
        <f t="shared" si="6"/>
        <v>110</v>
      </c>
      <c r="B176" s="4"/>
      <c r="C176" s="79" t="s">
        <v>38</v>
      </c>
      <c r="D176" s="25"/>
      <c r="E176" s="46">
        <v>10000</v>
      </c>
      <c r="F176" s="138">
        <f>5200+2000</f>
        <v>7200</v>
      </c>
      <c r="G176" s="138">
        <v>7200</v>
      </c>
      <c r="H176" s="138">
        <v>8000</v>
      </c>
      <c r="I176" s="203">
        <f t="shared" si="5"/>
        <v>1.1111111111111112</v>
      </c>
      <c r="J176" s="203">
        <f aca="true" t="shared" si="7" ref="J176:J183">H176/$H$1363</f>
        <v>0.00017402443424873956</v>
      </c>
    </row>
    <row r="177" spans="1:10" ht="12.75">
      <c r="A177" s="158">
        <f t="shared" si="6"/>
        <v>111</v>
      </c>
      <c r="B177" s="4"/>
      <c r="C177" s="79" t="s">
        <v>39</v>
      </c>
      <c r="D177" s="25"/>
      <c r="E177" s="46">
        <v>20000</v>
      </c>
      <c r="F177" s="138">
        <f>18822+10000</f>
        <v>28822</v>
      </c>
      <c r="G177" s="138">
        <v>28822</v>
      </c>
      <c r="H177" s="138">
        <v>30000</v>
      </c>
      <c r="I177" s="203">
        <f t="shared" si="5"/>
        <v>1.040871556449934</v>
      </c>
      <c r="J177" s="203">
        <f t="shared" si="7"/>
        <v>0.0006525916284327734</v>
      </c>
    </row>
    <row r="178" spans="1:10" ht="12.75">
      <c r="A178" s="158">
        <f t="shared" si="6"/>
        <v>112</v>
      </c>
      <c r="B178" s="4"/>
      <c r="C178" s="79" t="s">
        <v>200</v>
      </c>
      <c r="D178" s="25"/>
      <c r="E178" s="46">
        <v>15000</v>
      </c>
      <c r="F178" s="138">
        <v>63000</v>
      </c>
      <c r="G178" s="138">
        <v>63000</v>
      </c>
      <c r="H178" s="138">
        <v>60000</v>
      </c>
      <c r="I178" s="203">
        <f t="shared" si="5"/>
        <v>0.9523809523809523</v>
      </c>
      <c r="J178" s="203">
        <f t="shared" si="7"/>
        <v>0.0013051832568655468</v>
      </c>
    </row>
    <row r="179" spans="1:10" ht="12.75">
      <c r="A179" s="158">
        <f t="shared" si="6"/>
        <v>113</v>
      </c>
      <c r="B179" s="4"/>
      <c r="C179" s="79" t="s">
        <v>201</v>
      </c>
      <c r="D179" s="25"/>
      <c r="E179" s="46">
        <v>2000</v>
      </c>
      <c r="F179" s="138">
        <v>482.14</v>
      </c>
      <c r="G179" s="138">
        <v>482.14</v>
      </c>
      <c r="H179" s="138">
        <v>500</v>
      </c>
      <c r="I179" s="203">
        <f t="shared" si="5"/>
        <v>1.0370431824781183</v>
      </c>
      <c r="J179" s="203">
        <f t="shared" si="7"/>
        <v>1.0876527140546222E-05</v>
      </c>
    </row>
    <row r="180" spans="1:10" ht="12.75">
      <c r="A180" s="158">
        <f t="shared" si="6"/>
        <v>114</v>
      </c>
      <c r="B180" s="4"/>
      <c r="C180" s="79" t="s">
        <v>19</v>
      </c>
      <c r="D180" s="25"/>
      <c r="E180" s="46">
        <v>5000</v>
      </c>
      <c r="F180" s="138">
        <v>17.86</v>
      </c>
      <c r="G180" s="138">
        <v>17.86</v>
      </c>
      <c r="H180" s="138">
        <v>0</v>
      </c>
      <c r="I180" s="203">
        <f t="shared" si="5"/>
        <v>0</v>
      </c>
      <c r="J180" s="203">
        <f t="shared" si="7"/>
        <v>0</v>
      </c>
    </row>
    <row r="181" spans="1:10" ht="12.75">
      <c r="A181" s="158">
        <f t="shared" si="6"/>
        <v>115</v>
      </c>
      <c r="B181" s="4"/>
      <c r="C181" s="79" t="s">
        <v>411</v>
      </c>
      <c r="D181" s="25"/>
      <c r="E181" s="46"/>
      <c r="F181" s="138">
        <v>2928</v>
      </c>
      <c r="G181" s="138">
        <v>2928</v>
      </c>
      <c r="H181" s="138">
        <v>0</v>
      </c>
      <c r="I181" s="203">
        <f t="shared" si="5"/>
        <v>0</v>
      </c>
      <c r="J181" s="203">
        <f t="shared" si="7"/>
        <v>0</v>
      </c>
    </row>
    <row r="182" spans="1:10" ht="12.75">
      <c r="A182" s="158">
        <f t="shared" si="6"/>
        <v>116</v>
      </c>
      <c r="B182" s="4"/>
      <c r="C182" s="79" t="s">
        <v>223</v>
      </c>
      <c r="D182" s="25"/>
      <c r="E182" s="46"/>
      <c r="F182" s="138">
        <v>4000</v>
      </c>
      <c r="G182" s="138">
        <v>4000</v>
      </c>
      <c r="H182" s="138">
        <v>10000</v>
      </c>
      <c r="I182" s="203">
        <f t="shared" si="5"/>
        <v>2.5</v>
      </c>
      <c r="J182" s="203">
        <f t="shared" si="7"/>
        <v>0.00021753054281092445</v>
      </c>
    </row>
    <row r="183" spans="1:10" ht="12.75">
      <c r="A183" s="158">
        <f t="shared" si="6"/>
        <v>117</v>
      </c>
      <c r="B183" s="4">
        <v>4430</v>
      </c>
      <c r="C183" s="79" t="s">
        <v>40</v>
      </c>
      <c r="D183" s="25"/>
      <c r="E183" s="46">
        <v>15000</v>
      </c>
      <c r="F183" s="138">
        <f>SUM(F185:F186)</f>
        <v>11050</v>
      </c>
      <c r="G183" s="138">
        <f>SUM(G185:G186)</f>
        <v>11049.56</v>
      </c>
      <c r="H183" s="138">
        <f>SUM(H185:H186)</f>
        <v>10000</v>
      </c>
      <c r="I183" s="203">
        <f t="shared" si="5"/>
        <v>0.9050134122987703</v>
      </c>
      <c r="J183" s="203">
        <f t="shared" si="7"/>
        <v>0.00021753054281092445</v>
      </c>
    </row>
    <row r="184" spans="1:10" ht="12.75">
      <c r="A184" s="158">
        <f t="shared" si="6"/>
        <v>118</v>
      </c>
      <c r="B184" s="4"/>
      <c r="C184" s="79" t="s">
        <v>15</v>
      </c>
      <c r="D184" s="25"/>
      <c r="E184" s="46"/>
      <c r="F184" s="138"/>
      <c r="G184" s="138"/>
      <c r="H184" s="138"/>
      <c r="I184" s="203"/>
      <c r="J184" s="203"/>
    </row>
    <row r="185" spans="1:10" ht="12.75">
      <c r="A185" s="158">
        <f t="shared" si="6"/>
        <v>119</v>
      </c>
      <c r="B185" s="4"/>
      <c r="C185" s="79" t="s">
        <v>412</v>
      </c>
      <c r="D185" s="25"/>
      <c r="E185" s="46"/>
      <c r="F185" s="138">
        <v>7719</v>
      </c>
      <c r="G185" s="138">
        <v>7719</v>
      </c>
      <c r="H185" s="138">
        <v>10000</v>
      </c>
      <c r="I185" s="203">
        <f t="shared" si="5"/>
        <v>1.2955045990413265</v>
      </c>
      <c r="J185" s="203">
        <f>H185/$H$1363</f>
        <v>0.00021753054281092445</v>
      </c>
    </row>
    <row r="186" spans="1:10" ht="12.75">
      <c r="A186" s="158">
        <f t="shared" si="6"/>
        <v>120</v>
      </c>
      <c r="B186" s="4"/>
      <c r="C186" s="79" t="s">
        <v>413</v>
      </c>
      <c r="D186" s="25"/>
      <c r="E186" s="46"/>
      <c r="F186" s="138">
        <v>3331</v>
      </c>
      <c r="G186" s="138">
        <v>3330.56</v>
      </c>
      <c r="H186" s="138">
        <v>0</v>
      </c>
      <c r="I186" s="203">
        <f t="shared" si="5"/>
        <v>0</v>
      </c>
      <c r="J186" s="203">
        <f>H186/$H$1363</f>
        <v>0</v>
      </c>
    </row>
    <row r="187" spans="1:10" ht="12.75">
      <c r="A187" s="158">
        <f t="shared" si="6"/>
        <v>121</v>
      </c>
      <c r="B187" s="4">
        <v>4530</v>
      </c>
      <c r="C187" s="79" t="s">
        <v>306</v>
      </c>
      <c r="D187" s="25"/>
      <c r="E187" s="46"/>
      <c r="F187" s="138"/>
      <c r="G187" s="138"/>
      <c r="H187" s="138"/>
      <c r="I187" s="203"/>
      <c r="J187" s="203"/>
    </row>
    <row r="188" spans="1:10" ht="12.75">
      <c r="A188" s="158">
        <f t="shared" si="6"/>
        <v>122</v>
      </c>
      <c r="B188" s="4"/>
      <c r="C188" s="79" t="s">
        <v>414</v>
      </c>
      <c r="D188" s="25"/>
      <c r="E188" s="46"/>
      <c r="F188" s="138"/>
      <c r="G188" s="138"/>
      <c r="H188" s="138"/>
      <c r="I188" s="203"/>
      <c r="J188" s="203"/>
    </row>
    <row r="189" spans="1:10" ht="12.75">
      <c r="A189" s="158">
        <f t="shared" si="6"/>
        <v>123</v>
      </c>
      <c r="B189" s="4"/>
      <c r="C189" s="79" t="s">
        <v>415</v>
      </c>
      <c r="D189" s="25"/>
      <c r="E189" s="46"/>
      <c r="F189" s="138">
        <v>40700</v>
      </c>
      <c r="G189" s="138">
        <v>40700</v>
      </c>
      <c r="H189" s="138">
        <v>0</v>
      </c>
      <c r="I189" s="203">
        <f t="shared" si="5"/>
        <v>0</v>
      </c>
      <c r="J189" s="203">
        <f>H189/$H$1363</f>
        <v>0</v>
      </c>
    </row>
    <row r="190" spans="1:10" ht="12.75">
      <c r="A190" s="158">
        <f t="shared" si="6"/>
        <v>124</v>
      </c>
      <c r="B190" s="4">
        <v>4580</v>
      </c>
      <c r="C190" s="79" t="s">
        <v>183</v>
      </c>
      <c r="D190" s="25"/>
      <c r="E190" s="46"/>
      <c r="F190" s="138">
        <v>0</v>
      </c>
      <c r="G190" s="138">
        <v>0</v>
      </c>
      <c r="H190" s="138">
        <v>0</v>
      </c>
      <c r="I190" s="203"/>
      <c r="J190" s="203">
        <f>H190/$H$1363</f>
        <v>0</v>
      </c>
    </row>
    <row r="191" spans="1:10" ht="12.75">
      <c r="A191" s="158">
        <f t="shared" si="6"/>
        <v>125</v>
      </c>
      <c r="B191" s="4">
        <v>4590</v>
      </c>
      <c r="C191" s="79" t="s">
        <v>137</v>
      </c>
      <c r="D191" s="25"/>
      <c r="E191" s="46"/>
      <c r="F191" s="138"/>
      <c r="G191" s="138"/>
      <c r="H191" s="138"/>
      <c r="I191" s="203"/>
      <c r="J191" s="203"/>
    </row>
    <row r="192" spans="1:10" ht="12.75">
      <c r="A192" s="158">
        <f t="shared" si="6"/>
        <v>126</v>
      </c>
      <c r="B192" s="4"/>
      <c r="C192" s="79" t="s">
        <v>333</v>
      </c>
      <c r="D192" s="25"/>
      <c r="E192" s="46">
        <v>15000</v>
      </c>
      <c r="F192" s="138">
        <f>SUM(F194:F198)</f>
        <v>435000</v>
      </c>
      <c r="G192" s="138">
        <f>SUM(G194:G198)</f>
        <v>65000</v>
      </c>
      <c r="H192" s="138">
        <f>SUM(H194:H198)</f>
        <v>355000</v>
      </c>
      <c r="I192" s="203">
        <f t="shared" si="5"/>
        <v>5.461538461538462</v>
      </c>
      <c r="J192" s="203">
        <f>H192/$H$1363</f>
        <v>0.007722334269787818</v>
      </c>
    </row>
    <row r="193" spans="1:10" ht="12.75">
      <c r="A193" s="158">
        <f t="shared" si="6"/>
        <v>127</v>
      </c>
      <c r="B193" s="4"/>
      <c r="C193" s="79" t="s">
        <v>15</v>
      </c>
      <c r="D193" s="25"/>
      <c r="E193" s="46"/>
      <c r="F193" s="138"/>
      <c r="G193" s="138"/>
      <c r="H193" s="138"/>
      <c r="I193" s="203"/>
      <c r="J193" s="203"/>
    </row>
    <row r="194" spans="1:10" ht="12.75">
      <c r="A194" s="158">
        <f t="shared" si="6"/>
        <v>128</v>
      </c>
      <c r="B194" s="4"/>
      <c r="C194" s="106" t="s">
        <v>569</v>
      </c>
      <c r="D194" s="25"/>
      <c r="E194" s="46"/>
      <c r="F194" s="138">
        <v>85000</v>
      </c>
      <c r="G194" s="138">
        <v>62000</v>
      </c>
      <c r="H194" s="138">
        <v>0</v>
      </c>
      <c r="I194" s="203">
        <f t="shared" si="5"/>
        <v>0</v>
      </c>
      <c r="J194" s="203">
        <f>H194/$H$1363</f>
        <v>0</v>
      </c>
    </row>
    <row r="195" spans="1:10" ht="12.75">
      <c r="A195" s="158">
        <f t="shared" si="6"/>
        <v>129</v>
      </c>
      <c r="B195" s="4"/>
      <c r="C195" s="79" t="s">
        <v>19</v>
      </c>
      <c r="D195" s="25"/>
      <c r="E195" s="46"/>
      <c r="F195" s="138">
        <v>0</v>
      </c>
      <c r="G195" s="138">
        <v>0</v>
      </c>
      <c r="H195" s="138">
        <v>5000</v>
      </c>
      <c r="I195" s="203"/>
      <c r="J195" s="203">
        <f>H195/$H$1363</f>
        <v>0.00010876527140546222</v>
      </c>
    </row>
    <row r="196" spans="1:10" ht="12.75">
      <c r="A196" s="158">
        <f t="shared" si="6"/>
        <v>130</v>
      </c>
      <c r="B196" s="4"/>
      <c r="C196" s="79" t="s">
        <v>334</v>
      </c>
      <c r="D196" s="25"/>
      <c r="E196" s="46"/>
      <c r="F196" s="138"/>
      <c r="G196" s="138"/>
      <c r="H196" s="138"/>
      <c r="I196" s="203"/>
      <c r="J196" s="203"/>
    </row>
    <row r="197" spans="1:10" ht="12.75">
      <c r="A197" s="158">
        <f t="shared" si="6"/>
        <v>131</v>
      </c>
      <c r="B197" s="4"/>
      <c r="C197" s="79" t="s">
        <v>666</v>
      </c>
      <c r="D197" s="25"/>
      <c r="E197" s="46"/>
      <c r="F197" s="138">
        <v>347000</v>
      </c>
      <c r="G197" s="138">
        <v>0</v>
      </c>
      <c r="H197" s="138">
        <v>347000</v>
      </c>
      <c r="I197" s="203"/>
      <c r="J197" s="203">
        <f>H197/$H$1363</f>
        <v>0.0075483098355390785</v>
      </c>
    </row>
    <row r="198" spans="1:10" ht="12.75">
      <c r="A198" s="158">
        <f t="shared" si="6"/>
        <v>132</v>
      </c>
      <c r="B198" s="4"/>
      <c r="C198" s="79" t="s">
        <v>300</v>
      </c>
      <c r="D198" s="25"/>
      <c r="E198" s="46"/>
      <c r="F198" s="138">
        <v>3000</v>
      </c>
      <c r="G198" s="138">
        <v>3000</v>
      </c>
      <c r="H198" s="138">
        <v>3000</v>
      </c>
      <c r="I198" s="203">
        <f t="shared" si="5"/>
        <v>1</v>
      </c>
      <c r="J198" s="203">
        <f>H198/$H$1363</f>
        <v>6.525916284327733E-05</v>
      </c>
    </row>
    <row r="199" spans="1:10" s="67" customFormat="1" ht="12.75">
      <c r="A199" s="158">
        <f t="shared" si="6"/>
        <v>133</v>
      </c>
      <c r="B199" s="62">
        <v>70095</v>
      </c>
      <c r="C199" s="68" t="s">
        <v>25</v>
      </c>
      <c r="D199" s="66"/>
      <c r="E199" s="64" t="e">
        <f>E212+#REF!</f>
        <v>#REF!</v>
      </c>
      <c r="F199" s="63">
        <f>F200+F203+F210+F211+F212</f>
        <v>7905630</v>
      </c>
      <c r="G199" s="63">
        <f>G200+G203+G210+G211+G212</f>
        <v>7856456.54</v>
      </c>
      <c r="H199" s="63">
        <f>H200+H203+H210+H211+H212</f>
        <v>1213786</v>
      </c>
      <c r="I199" s="203">
        <f t="shared" si="5"/>
        <v>0.15449534962997452</v>
      </c>
      <c r="J199" s="203">
        <f>H199/$H$1363</f>
        <v>0.026403552743630074</v>
      </c>
    </row>
    <row r="200" spans="1:10" s="104" customFormat="1" ht="12.75">
      <c r="A200" s="158">
        <f t="shared" si="6"/>
        <v>134</v>
      </c>
      <c r="B200" s="105">
        <v>4270</v>
      </c>
      <c r="C200" s="79" t="s">
        <v>330</v>
      </c>
      <c r="D200" s="103"/>
      <c r="E200" s="82"/>
      <c r="F200" s="84">
        <f>F202</f>
        <v>101500</v>
      </c>
      <c r="G200" s="84">
        <f>G202</f>
        <v>101500</v>
      </c>
      <c r="H200" s="84">
        <f>H202</f>
        <v>150000</v>
      </c>
      <c r="I200" s="203">
        <f t="shared" si="5"/>
        <v>1.477832512315271</v>
      </c>
      <c r="J200" s="203">
        <f>H200/$H$1363</f>
        <v>0.003262958142163867</v>
      </c>
    </row>
    <row r="201" spans="1:10" s="104" customFormat="1" ht="12.75">
      <c r="A201" s="158">
        <f t="shared" si="6"/>
        <v>135</v>
      </c>
      <c r="B201" s="105"/>
      <c r="C201" s="79" t="s">
        <v>15</v>
      </c>
      <c r="D201" s="103"/>
      <c r="E201" s="82"/>
      <c r="F201" s="144"/>
      <c r="G201" s="144"/>
      <c r="H201" s="144"/>
      <c r="I201" s="203"/>
      <c r="J201" s="203"/>
    </row>
    <row r="202" spans="1:10" s="104" customFormat="1" ht="12.75">
      <c r="A202" s="158">
        <f t="shared" si="6"/>
        <v>136</v>
      </c>
      <c r="B202" s="105"/>
      <c r="C202" s="106" t="s">
        <v>669</v>
      </c>
      <c r="D202" s="103"/>
      <c r="E202" s="82"/>
      <c r="F202" s="144">
        <v>101500</v>
      </c>
      <c r="G202" s="144">
        <v>101500</v>
      </c>
      <c r="H202" s="144">
        <v>150000</v>
      </c>
      <c r="I202" s="203">
        <f t="shared" si="5"/>
        <v>1.477832512315271</v>
      </c>
      <c r="J202" s="203">
        <f>H202/$H$1363</f>
        <v>0.003262958142163867</v>
      </c>
    </row>
    <row r="203" spans="1:10" s="104" customFormat="1" ht="12.75">
      <c r="A203" s="158">
        <f t="shared" si="6"/>
        <v>137</v>
      </c>
      <c r="B203" s="105">
        <v>4300</v>
      </c>
      <c r="C203" s="79" t="s">
        <v>245</v>
      </c>
      <c r="D203" s="103"/>
      <c r="E203" s="82"/>
      <c r="F203" s="84">
        <f>SUM(F205:F209)</f>
        <v>944650</v>
      </c>
      <c r="G203" s="84">
        <f>SUM(G205:G209)</f>
        <v>944649.59</v>
      </c>
      <c r="H203" s="84">
        <f>SUM(H205:H209)</f>
        <v>913390</v>
      </c>
      <c r="I203" s="203">
        <f t="shared" si="5"/>
        <v>0.9669087984254564</v>
      </c>
      <c r="J203" s="203">
        <f>H203/$H$1363</f>
        <v>0.01986902224980703</v>
      </c>
    </row>
    <row r="204" spans="1:10" s="104" customFormat="1" ht="12.75">
      <c r="A204" s="158">
        <f t="shared" si="6"/>
        <v>138</v>
      </c>
      <c r="B204" s="105"/>
      <c r="C204" s="79" t="s">
        <v>15</v>
      </c>
      <c r="D204" s="103"/>
      <c r="E204" s="82"/>
      <c r="F204" s="144"/>
      <c r="G204" s="144"/>
      <c r="H204" s="144"/>
      <c r="I204" s="203"/>
      <c r="J204" s="203"/>
    </row>
    <row r="205" spans="1:10" s="104" customFormat="1" ht="12.75">
      <c r="A205" s="158">
        <f t="shared" si="6"/>
        <v>139</v>
      </c>
      <c r="B205" s="105"/>
      <c r="C205" s="79" t="s">
        <v>284</v>
      </c>
      <c r="D205" s="103"/>
      <c r="E205" s="82"/>
      <c r="F205" s="144">
        <v>744036</v>
      </c>
      <c r="G205" s="144">
        <v>744036</v>
      </c>
      <c r="H205" s="144">
        <v>821250</v>
      </c>
      <c r="I205" s="203">
        <f t="shared" si="5"/>
        <v>1.1037772365853264</v>
      </c>
      <c r="J205" s="203">
        <f>H205/$H$1363</f>
        <v>0.017864695828347172</v>
      </c>
    </row>
    <row r="206" spans="1:10" s="104" customFormat="1" ht="12.75">
      <c r="A206" s="158">
        <f t="shared" si="6"/>
        <v>140</v>
      </c>
      <c r="B206" s="105"/>
      <c r="C206" s="79" t="s">
        <v>416</v>
      </c>
      <c r="D206" s="103"/>
      <c r="E206" s="82"/>
      <c r="F206" s="144">
        <v>51964</v>
      </c>
      <c r="G206" s="144">
        <v>51964</v>
      </c>
      <c r="H206" s="144">
        <v>32140</v>
      </c>
      <c r="I206" s="203">
        <f t="shared" si="5"/>
        <v>0.6185051189284889</v>
      </c>
      <c r="J206" s="203">
        <f>H206/$H$1363</f>
        <v>0.0006991431645943112</v>
      </c>
    </row>
    <row r="207" spans="1:10" s="104" customFormat="1" ht="12.75">
      <c r="A207" s="158">
        <f t="shared" si="6"/>
        <v>141</v>
      </c>
      <c r="B207" s="105"/>
      <c r="C207" s="79" t="s">
        <v>417</v>
      </c>
      <c r="D207" s="103"/>
      <c r="E207" s="82"/>
      <c r="F207" s="144"/>
      <c r="G207" s="144"/>
      <c r="H207" s="144"/>
      <c r="I207" s="203"/>
      <c r="J207" s="203"/>
    </row>
    <row r="208" spans="1:10" s="104" customFormat="1" ht="12.75">
      <c r="A208" s="158">
        <f t="shared" si="6"/>
        <v>142</v>
      </c>
      <c r="B208" s="105"/>
      <c r="C208" s="79" t="s">
        <v>670</v>
      </c>
      <c r="D208" s="103"/>
      <c r="E208" s="82"/>
      <c r="F208" s="144">
        <v>63650</v>
      </c>
      <c r="G208" s="144">
        <v>63649.59</v>
      </c>
      <c r="H208" s="144">
        <v>60000</v>
      </c>
      <c r="I208" s="203">
        <f t="shared" si="5"/>
        <v>0.942661217456389</v>
      </c>
      <c r="J208" s="203">
        <f>H208/$H$1363</f>
        <v>0.0013051832568655468</v>
      </c>
    </row>
    <row r="209" spans="1:10" s="104" customFormat="1" ht="12.75">
      <c r="A209" s="158">
        <f t="shared" si="6"/>
        <v>143</v>
      </c>
      <c r="B209" s="105"/>
      <c r="C209" s="79" t="s">
        <v>418</v>
      </c>
      <c r="D209" s="103"/>
      <c r="E209" s="82"/>
      <c r="F209" s="144">
        <f>40000+45000</f>
        <v>85000</v>
      </c>
      <c r="G209" s="144">
        <v>85000</v>
      </c>
      <c r="H209" s="144">
        <v>0</v>
      </c>
      <c r="I209" s="203">
        <f t="shared" si="5"/>
        <v>0</v>
      </c>
      <c r="J209" s="203">
        <f>H209/$H$1363</f>
        <v>0</v>
      </c>
    </row>
    <row r="210" spans="1:10" s="104" customFormat="1" ht="12.75">
      <c r="A210" s="158">
        <f t="shared" si="6"/>
        <v>144</v>
      </c>
      <c r="B210" s="105">
        <v>4430</v>
      </c>
      <c r="C210" s="79" t="s">
        <v>283</v>
      </c>
      <c r="D210" s="103"/>
      <c r="E210" s="82"/>
      <c r="F210" s="144">
        <v>10396</v>
      </c>
      <c r="G210" s="144">
        <v>10368.36</v>
      </c>
      <c r="H210" s="144">
        <v>10396</v>
      </c>
      <c r="I210" s="203">
        <f t="shared" si="5"/>
        <v>1.0026658024991415</v>
      </c>
      <c r="J210" s="203">
        <f>H210/$H$1363</f>
        <v>0.00022614475230623706</v>
      </c>
    </row>
    <row r="211" spans="1:10" s="104" customFormat="1" ht="12.75">
      <c r="A211" s="158">
        <f t="shared" si="6"/>
        <v>145</v>
      </c>
      <c r="B211" s="4">
        <v>4590</v>
      </c>
      <c r="C211" s="79" t="s">
        <v>504</v>
      </c>
      <c r="D211" s="103"/>
      <c r="E211" s="82"/>
      <c r="F211" s="144">
        <v>903</v>
      </c>
      <c r="G211" s="144">
        <v>902.8</v>
      </c>
      <c r="H211" s="144">
        <v>0</v>
      </c>
      <c r="I211" s="203">
        <f t="shared" si="5"/>
        <v>0</v>
      </c>
      <c r="J211" s="203">
        <f>H211/$H$1363</f>
        <v>0</v>
      </c>
    </row>
    <row r="212" spans="1:10" ht="12.75">
      <c r="A212" s="158">
        <f t="shared" si="6"/>
        <v>146</v>
      </c>
      <c r="B212" s="15">
        <v>6050</v>
      </c>
      <c r="C212" s="79" t="s">
        <v>133</v>
      </c>
      <c r="D212" s="23"/>
      <c r="E212" s="47" t="e">
        <f>SUM(#REF!)</f>
        <v>#REF!</v>
      </c>
      <c r="F212" s="23">
        <f>SUM(F215:F219)</f>
        <v>6848181</v>
      </c>
      <c r="G212" s="23">
        <f>SUM(G215:G219)</f>
        <v>6799035.79</v>
      </c>
      <c r="H212" s="23">
        <f>SUM(H215:H219)</f>
        <v>140000</v>
      </c>
      <c r="I212" s="203">
        <f t="shared" si="5"/>
        <v>0.020591155029057437</v>
      </c>
      <c r="J212" s="203">
        <f>H212/$H$1363</f>
        <v>0.003045427599352942</v>
      </c>
    </row>
    <row r="213" spans="1:10" ht="12.75">
      <c r="A213" s="158">
        <f t="shared" si="6"/>
        <v>147</v>
      </c>
      <c r="B213" s="15"/>
      <c r="C213" s="79" t="s">
        <v>15</v>
      </c>
      <c r="D213" s="23"/>
      <c r="E213" s="98"/>
      <c r="F213" s="150"/>
      <c r="G213" s="150"/>
      <c r="H213" s="150"/>
      <c r="I213" s="203"/>
      <c r="J213" s="203"/>
    </row>
    <row r="214" spans="1:10" ht="12.75">
      <c r="A214" s="158">
        <f t="shared" si="6"/>
        <v>148</v>
      </c>
      <c r="B214" s="15"/>
      <c r="C214" s="79" t="s">
        <v>419</v>
      </c>
      <c r="D214" s="23"/>
      <c r="E214" s="98"/>
      <c r="F214" s="150"/>
      <c r="G214" s="150"/>
      <c r="H214" s="150"/>
      <c r="I214" s="203"/>
      <c r="J214" s="203">
        <f aca="true" t="shared" si="8" ref="J214:J220">H214/$H$1363</f>
        <v>0</v>
      </c>
    </row>
    <row r="215" spans="1:10" ht="12.75">
      <c r="A215" s="158">
        <f t="shared" si="6"/>
        <v>149</v>
      </c>
      <c r="B215" s="4"/>
      <c r="C215" s="104" t="s">
        <v>420</v>
      </c>
      <c r="D215" s="25"/>
      <c r="E215" s="46"/>
      <c r="F215" s="28">
        <v>6027000</v>
      </c>
      <c r="G215" s="138">
        <f>96380+5882608.23+9252.76+466.84</f>
        <v>5988707.83</v>
      </c>
      <c r="H215" s="138">
        <v>0</v>
      </c>
      <c r="I215" s="203">
        <f aca="true" t="shared" si="9" ref="I215:I274">H215/G215</f>
        <v>0</v>
      </c>
      <c r="J215" s="203">
        <f t="shared" si="8"/>
        <v>0</v>
      </c>
    </row>
    <row r="216" spans="1:10" ht="12.75">
      <c r="A216" s="158">
        <f t="shared" si="6"/>
        <v>150</v>
      </c>
      <c r="B216" s="4"/>
      <c r="C216" s="104" t="s">
        <v>421</v>
      </c>
      <c r="D216" s="25"/>
      <c r="E216" s="46"/>
      <c r="F216" s="28">
        <f>128500+80000</f>
        <v>208500</v>
      </c>
      <c r="G216" s="138">
        <v>208500</v>
      </c>
      <c r="H216" s="138">
        <v>0</v>
      </c>
      <c r="I216" s="203">
        <f t="shared" si="9"/>
        <v>0</v>
      </c>
      <c r="J216" s="203">
        <f t="shared" si="8"/>
        <v>0</v>
      </c>
    </row>
    <row r="217" spans="1:10" ht="12.75">
      <c r="A217" s="158">
        <f t="shared" si="6"/>
        <v>151</v>
      </c>
      <c r="B217" s="4"/>
      <c r="C217" s="191" t="s">
        <v>422</v>
      </c>
      <c r="D217" s="25"/>
      <c r="E217" s="46"/>
      <c r="F217" s="28">
        <f>100000-100000</f>
        <v>0</v>
      </c>
      <c r="G217" s="138">
        <v>0</v>
      </c>
      <c r="H217" s="138">
        <v>140000</v>
      </c>
      <c r="I217" s="203"/>
      <c r="J217" s="203">
        <f t="shared" si="8"/>
        <v>0.003045427599352942</v>
      </c>
    </row>
    <row r="218" spans="1:10" ht="12.75">
      <c r="A218" s="158">
        <f t="shared" si="6"/>
        <v>152</v>
      </c>
      <c r="B218" s="4"/>
      <c r="C218" s="191" t="s">
        <v>393</v>
      </c>
      <c r="D218" s="25"/>
      <c r="E218" s="46"/>
      <c r="F218" s="28">
        <v>492681</v>
      </c>
      <c r="G218" s="138">
        <v>487820.09</v>
      </c>
      <c r="H218" s="138">
        <v>0</v>
      </c>
      <c r="I218" s="203">
        <f t="shared" si="9"/>
        <v>0</v>
      </c>
      <c r="J218" s="203">
        <f t="shared" si="8"/>
        <v>0</v>
      </c>
    </row>
    <row r="219" spans="1:10" ht="12.75">
      <c r="A219" s="158">
        <f t="shared" si="6"/>
        <v>153</v>
      </c>
      <c r="B219" s="4"/>
      <c r="C219" s="191" t="s">
        <v>505</v>
      </c>
      <c r="D219" s="25"/>
      <c r="E219" s="46"/>
      <c r="F219" s="28">
        <v>120000</v>
      </c>
      <c r="G219" s="138">
        <v>114007.87</v>
      </c>
      <c r="H219" s="138">
        <v>0</v>
      </c>
      <c r="I219" s="203"/>
      <c r="J219" s="203">
        <f t="shared" si="8"/>
        <v>0</v>
      </c>
    </row>
    <row r="220" spans="1:10" s="70" customFormat="1" ht="12.75">
      <c r="A220" s="158">
        <f t="shared" si="6"/>
        <v>154</v>
      </c>
      <c r="B220" s="56">
        <v>710</v>
      </c>
      <c r="C220" s="78" t="s">
        <v>100</v>
      </c>
      <c r="D220" s="58"/>
      <c r="E220" s="59" t="e">
        <f>E221+E232+E241</f>
        <v>#REF!</v>
      </c>
      <c r="F220" s="58">
        <f>F221+F232+F241</f>
        <v>635890</v>
      </c>
      <c r="G220" s="58">
        <f>G221+G232+G241</f>
        <v>274554.93</v>
      </c>
      <c r="H220" s="58">
        <f>H221+H232+H241</f>
        <v>762500</v>
      </c>
      <c r="I220" s="203">
        <f t="shared" si="9"/>
        <v>2.7772220298502743</v>
      </c>
      <c r="J220" s="203">
        <f t="shared" si="8"/>
        <v>0.01658670388933299</v>
      </c>
    </row>
    <row r="221" spans="1:10" ht="12.75">
      <c r="A221" s="158">
        <f t="shared" si="6"/>
        <v>155</v>
      </c>
      <c r="B221" s="11">
        <v>71004</v>
      </c>
      <c r="C221" s="68" t="s">
        <v>101</v>
      </c>
      <c r="D221" s="25"/>
      <c r="E221" s="44">
        <f>E224</f>
        <v>270000</v>
      </c>
      <c r="F221" s="26">
        <f>F223+F224</f>
        <v>404890</v>
      </c>
      <c r="G221" s="26">
        <f>G223+G224</f>
        <v>193021.88</v>
      </c>
      <c r="H221" s="26">
        <f>H223+H224</f>
        <v>354500</v>
      </c>
      <c r="I221" s="203">
        <f t="shared" si="9"/>
        <v>1.836579355666829</v>
      </c>
      <c r="J221" s="203">
        <f aca="true" t="shared" si="10" ref="J221:J283">H221/$H$1363</f>
        <v>0.0077114577426472715</v>
      </c>
    </row>
    <row r="222" spans="1:10" ht="12.75">
      <c r="A222" s="158">
        <f aca="true" t="shared" si="11" ref="A222:A285">A221+1</f>
        <v>156</v>
      </c>
      <c r="B222" s="137">
        <v>4170</v>
      </c>
      <c r="C222" s="40" t="s">
        <v>423</v>
      </c>
      <c r="D222" s="25"/>
      <c r="E222" s="196"/>
      <c r="F222" s="153"/>
      <c r="G222" s="153"/>
      <c r="H222" s="153"/>
      <c r="I222" s="203"/>
      <c r="J222" s="203"/>
    </row>
    <row r="223" spans="1:10" ht="12.75">
      <c r="A223" s="158">
        <f t="shared" si="11"/>
        <v>157</v>
      </c>
      <c r="B223" s="135"/>
      <c r="C223" s="40" t="s">
        <v>424</v>
      </c>
      <c r="D223" s="25"/>
      <c r="E223" s="196"/>
      <c r="F223" s="138">
        <v>20000</v>
      </c>
      <c r="G223" s="138">
        <v>20000</v>
      </c>
      <c r="H223" s="138">
        <v>0</v>
      </c>
      <c r="I223" s="203">
        <f t="shared" si="9"/>
        <v>0</v>
      </c>
      <c r="J223" s="203">
        <f t="shared" si="10"/>
        <v>0</v>
      </c>
    </row>
    <row r="224" spans="1:10" ht="12.75">
      <c r="A224" s="158">
        <f t="shared" si="11"/>
        <v>158</v>
      </c>
      <c r="B224" s="4">
        <v>4300</v>
      </c>
      <c r="C224" s="79" t="s">
        <v>134</v>
      </c>
      <c r="D224" s="25"/>
      <c r="E224" s="46">
        <v>270000</v>
      </c>
      <c r="F224" s="138">
        <f>SUM(F226:F231)</f>
        <v>384890</v>
      </c>
      <c r="G224" s="138">
        <f>SUM(G226:G231)</f>
        <v>173021.88</v>
      </c>
      <c r="H224" s="138">
        <f>SUM(H226:H231)</f>
        <v>354500</v>
      </c>
      <c r="I224" s="203">
        <f t="shared" si="9"/>
        <v>2.0488738187332145</v>
      </c>
      <c r="J224" s="203">
        <f t="shared" si="10"/>
        <v>0.0077114577426472715</v>
      </c>
    </row>
    <row r="225" spans="1:10" ht="12.75">
      <c r="A225" s="158">
        <f t="shared" si="11"/>
        <v>159</v>
      </c>
      <c r="B225" s="4"/>
      <c r="C225" s="79" t="s">
        <v>15</v>
      </c>
      <c r="D225" s="25"/>
      <c r="E225" s="46"/>
      <c r="F225" s="138"/>
      <c r="G225" s="138"/>
      <c r="H225" s="138"/>
      <c r="I225" s="203"/>
      <c r="J225" s="203"/>
    </row>
    <row r="226" spans="1:10" ht="12.75">
      <c r="A226" s="158">
        <f t="shared" si="11"/>
        <v>160</v>
      </c>
      <c r="B226" s="4"/>
      <c r="C226" s="79" t="s">
        <v>182</v>
      </c>
      <c r="D226" s="25"/>
      <c r="E226" s="46"/>
      <c r="F226" s="138">
        <v>80000</v>
      </c>
      <c r="G226" s="138">
        <f>6845.88+21960+4392+17934</f>
        <v>51131.880000000005</v>
      </c>
      <c r="H226" s="138">
        <v>1500</v>
      </c>
      <c r="I226" s="203">
        <f t="shared" si="9"/>
        <v>0.029335905505528056</v>
      </c>
      <c r="J226" s="203">
        <f t="shared" si="10"/>
        <v>3.262958142163867E-05</v>
      </c>
    </row>
    <row r="227" spans="1:10" ht="12.75">
      <c r="A227" s="158">
        <f t="shared" si="11"/>
        <v>161</v>
      </c>
      <c r="B227" s="4"/>
      <c r="C227" s="79" t="s">
        <v>206</v>
      </c>
      <c r="D227" s="25"/>
      <c r="E227" s="46"/>
      <c r="F227" s="138">
        <v>60000</v>
      </c>
      <c r="G227" s="138">
        <v>60000</v>
      </c>
      <c r="H227" s="138">
        <v>100000</v>
      </c>
      <c r="I227" s="203">
        <f t="shared" si="9"/>
        <v>1.6666666666666667</v>
      </c>
      <c r="J227" s="203">
        <f t="shared" si="10"/>
        <v>0.0021753054281092444</v>
      </c>
    </row>
    <row r="228" spans="1:10" ht="12.75">
      <c r="A228" s="158">
        <f t="shared" si="11"/>
        <v>162</v>
      </c>
      <c r="B228" s="4"/>
      <c r="C228" s="79" t="s">
        <v>222</v>
      </c>
      <c r="D228" s="25"/>
      <c r="E228" s="46"/>
      <c r="F228" s="138">
        <v>15000</v>
      </c>
      <c r="G228" s="138">
        <v>15000</v>
      </c>
      <c r="H228" s="138">
        <v>20000</v>
      </c>
      <c r="I228" s="203">
        <f t="shared" si="9"/>
        <v>1.3333333333333333</v>
      </c>
      <c r="J228" s="203">
        <f t="shared" si="10"/>
        <v>0.0004350610856218489</v>
      </c>
    </row>
    <row r="229" spans="1:10" ht="12.75">
      <c r="A229" s="158">
        <f t="shared" si="11"/>
        <v>163</v>
      </c>
      <c r="B229" s="4"/>
      <c r="C229" s="214" t="s">
        <v>547</v>
      </c>
      <c r="D229" s="25"/>
      <c r="E229" s="46"/>
      <c r="F229" s="138">
        <v>0</v>
      </c>
      <c r="G229" s="138">
        <v>0</v>
      </c>
      <c r="H229" s="138">
        <v>50000</v>
      </c>
      <c r="I229" s="203"/>
      <c r="J229" s="203">
        <f t="shared" si="10"/>
        <v>0.0010876527140546222</v>
      </c>
    </row>
    <row r="230" spans="1:10" ht="12.75">
      <c r="A230" s="158">
        <f t="shared" si="11"/>
        <v>164</v>
      </c>
      <c r="B230" s="4"/>
      <c r="C230" s="104" t="s">
        <v>506</v>
      </c>
      <c r="D230" s="25"/>
      <c r="E230" s="46"/>
      <c r="F230" s="28">
        <v>183000</v>
      </c>
      <c r="G230" s="138">
        <v>0</v>
      </c>
      <c r="H230" s="138">
        <v>183000</v>
      </c>
      <c r="I230" s="203"/>
      <c r="J230" s="203">
        <f t="shared" si="10"/>
        <v>0.003980808933439917</v>
      </c>
    </row>
    <row r="231" spans="1:10" ht="12.75">
      <c r="A231" s="158">
        <f t="shared" si="11"/>
        <v>165</v>
      </c>
      <c r="B231" s="4"/>
      <c r="C231" s="104" t="s">
        <v>507</v>
      </c>
      <c r="D231" s="25"/>
      <c r="E231" s="46"/>
      <c r="F231" s="28">
        <v>46890</v>
      </c>
      <c r="G231" s="138">
        <v>46890</v>
      </c>
      <c r="H231" s="138">
        <v>0</v>
      </c>
      <c r="I231" s="203">
        <f t="shared" si="9"/>
        <v>0</v>
      </c>
      <c r="J231" s="203">
        <f t="shared" si="10"/>
        <v>0</v>
      </c>
    </row>
    <row r="232" spans="1:10" ht="12.75">
      <c r="A232" s="158">
        <f t="shared" si="11"/>
        <v>166</v>
      </c>
      <c r="B232" s="11">
        <v>71014</v>
      </c>
      <c r="C232" s="68" t="s">
        <v>35</v>
      </c>
      <c r="D232" s="25"/>
      <c r="E232" s="44">
        <f>E233</f>
        <v>172000</v>
      </c>
      <c r="F232" s="26">
        <f>F233</f>
        <v>40000</v>
      </c>
      <c r="G232" s="26">
        <f>G233</f>
        <v>40000</v>
      </c>
      <c r="H232" s="26">
        <f>H233</f>
        <v>58000</v>
      </c>
      <c r="I232" s="203">
        <f t="shared" si="9"/>
        <v>1.45</v>
      </c>
      <c r="J232" s="203">
        <f t="shared" si="10"/>
        <v>0.0012616771483033619</v>
      </c>
    </row>
    <row r="233" spans="1:10" ht="12.75">
      <c r="A233" s="158">
        <f t="shared" si="11"/>
        <v>167</v>
      </c>
      <c r="B233" s="4">
        <v>4300</v>
      </c>
      <c r="C233" s="79" t="s">
        <v>134</v>
      </c>
      <c r="D233" s="25"/>
      <c r="E233" s="47">
        <f>SUM(E235:E238)</f>
        <v>172000</v>
      </c>
      <c r="F233" s="23">
        <f>SUM(F235:F240)</f>
        <v>40000</v>
      </c>
      <c r="G233" s="23">
        <f>SUM(G235:G240)</f>
        <v>40000</v>
      </c>
      <c r="H233" s="23">
        <f>SUM(H235:H240)</f>
        <v>58000</v>
      </c>
      <c r="I233" s="203">
        <f t="shared" si="9"/>
        <v>1.45</v>
      </c>
      <c r="J233" s="203">
        <f t="shared" si="10"/>
        <v>0.0012616771483033619</v>
      </c>
    </row>
    <row r="234" spans="1:10" ht="12.75">
      <c r="A234" s="158">
        <f t="shared" si="11"/>
        <v>168</v>
      </c>
      <c r="B234" s="4"/>
      <c r="C234" s="79" t="s">
        <v>15</v>
      </c>
      <c r="D234" s="25"/>
      <c r="E234" s="46"/>
      <c r="F234" s="138"/>
      <c r="G234" s="138"/>
      <c r="H234" s="138"/>
      <c r="I234" s="203"/>
      <c r="J234" s="203"/>
    </row>
    <row r="235" spans="1:10" ht="12.75">
      <c r="A235" s="158">
        <f t="shared" si="11"/>
        <v>169</v>
      </c>
      <c r="B235" s="4"/>
      <c r="C235" s="79" t="s">
        <v>36</v>
      </c>
      <c r="D235" s="25"/>
      <c r="E235" s="46">
        <v>80000</v>
      </c>
      <c r="F235" s="138">
        <v>20000</v>
      </c>
      <c r="G235" s="138">
        <v>20000</v>
      </c>
      <c r="H235" s="138">
        <v>35000</v>
      </c>
      <c r="I235" s="203">
        <f t="shared" si="9"/>
        <v>1.75</v>
      </c>
      <c r="J235" s="203">
        <f t="shared" si="10"/>
        <v>0.0007613568998382355</v>
      </c>
    </row>
    <row r="236" spans="1:10" ht="12.75">
      <c r="A236" s="158">
        <f t="shared" si="11"/>
        <v>170</v>
      </c>
      <c r="B236" s="4"/>
      <c r="C236" s="79" t="s">
        <v>37</v>
      </c>
      <c r="D236" s="25"/>
      <c r="E236" s="46">
        <v>3000</v>
      </c>
      <c r="F236" s="138">
        <v>2000</v>
      </c>
      <c r="G236" s="138">
        <v>2000</v>
      </c>
      <c r="H236" s="138">
        <v>2000</v>
      </c>
      <c r="I236" s="203">
        <f t="shared" si="9"/>
        <v>1</v>
      </c>
      <c r="J236" s="203">
        <f t="shared" si="10"/>
        <v>4.350610856218489E-05</v>
      </c>
    </row>
    <row r="237" spans="1:10" ht="12.75">
      <c r="A237" s="158">
        <f t="shared" si="11"/>
        <v>171</v>
      </c>
      <c r="B237" s="4"/>
      <c r="C237" s="79" t="s">
        <v>150</v>
      </c>
      <c r="D237" s="25"/>
      <c r="E237" s="46">
        <v>80000</v>
      </c>
      <c r="F237" s="138">
        <v>2950</v>
      </c>
      <c r="G237" s="138">
        <v>2950</v>
      </c>
      <c r="H237" s="138">
        <v>4000</v>
      </c>
      <c r="I237" s="203">
        <f t="shared" si="9"/>
        <v>1.3559322033898304</v>
      </c>
      <c r="J237" s="203">
        <f t="shared" si="10"/>
        <v>8.701221712436978E-05</v>
      </c>
    </row>
    <row r="238" spans="1:10" ht="12.75">
      <c r="A238" s="158">
        <f t="shared" si="11"/>
        <v>172</v>
      </c>
      <c r="B238" s="4"/>
      <c r="C238" s="79" t="s">
        <v>19</v>
      </c>
      <c r="D238" s="25"/>
      <c r="E238" s="46">
        <f>3000+3500+2500</f>
        <v>9000</v>
      </c>
      <c r="F238" s="138">
        <v>5050</v>
      </c>
      <c r="G238" s="138">
        <v>5050</v>
      </c>
      <c r="H238" s="138">
        <v>5000</v>
      </c>
      <c r="I238" s="203">
        <f t="shared" si="9"/>
        <v>0.9900990099009901</v>
      </c>
      <c r="J238" s="203">
        <f t="shared" si="10"/>
        <v>0.00010876527140546222</v>
      </c>
    </row>
    <row r="239" spans="1:10" ht="12.75">
      <c r="A239" s="158">
        <f t="shared" si="11"/>
        <v>173</v>
      </c>
      <c r="B239" s="4"/>
      <c r="C239" s="79" t="s">
        <v>195</v>
      </c>
      <c r="D239" s="25"/>
      <c r="E239" s="46"/>
      <c r="F239" s="138">
        <v>5000</v>
      </c>
      <c r="G239" s="138">
        <v>5000</v>
      </c>
      <c r="H239" s="138">
        <v>5000</v>
      </c>
      <c r="I239" s="203">
        <f t="shared" si="9"/>
        <v>1</v>
      </c>
      <c r="J239" s="203">
        <f t="shared" si="10"/>
        <v>0.00010876527140546222</v>
      </c>
    </row>
    <row r="240" spans="1:10" ht="14.25" customHeight="1">
      <c r="A240" s="158">
        <f t="shared" si="11"/>
        <v>174</v>
      </c>
      <c r="B240" s="4"/>
      <c r="C240" s="79" t="s">
        <v>196</v>
      </c>
      <c r="D240" s="25"/>
      <c r="E240" s="46"/>
      <c r="F240" s="138">
        <v>5000</v>
      </c>
      <c r="G240" s="138">
        <v>5000</v>
      </c>
      <c r="H240" s="138">
        <v>7000</v>
      </c>
      <c r="I240" s="203">
        <f t="shared" si="9"/>
        <v>1.4</v>
      </c>
      <c r="J240" s="203">
        <f t="shared" si="10"/>
        <v>0.00015227137996764713</v>
      </c>
    </row>
    <row r="241" spans="1:10" s="73" customFormat="1" ht="12.75">
      <c r="A241" s="158">
        <f t="shared" si="11"/>
        <v>175</v>
      </c>
      <c r="B241" s="62">
        <v>71035</v>
      </c>
      <c r="C241" s="68" t="s">
        <v>170</v>
      </c>
      <c r="D241" s="63"/>
      <c r="E241" s="72" t="e">
        <f>#REF!</f>
        <v>#REF!</v>
      </c>
      <c r="F241" s="148">
        <f>+F242+F248+F250</f>
        <v>191000</v>
      </c>
      <c r="G241" s="148">
        <f>+G242+G248+G250</f>
        <v>41533.05</v>
      </c>
      <c r="H241" s="148">
        <f>+H242+H248+H250</f>
        <v>350000</v>
      </c>
      <c r="I241" s="203">
        <f t="shared" si="9"/>
        <v>8.427023779857246</v>
      </c>
      <c r="J241" s="203">
        <f t="shared" si="10"/>
        <v>0.007613568998382356</v>
      </c>
    </row>
    <row r="242" spans="1:10" ht="12.75">
      <c r="A242" s="158">
        <f t="shared" si="11"/>
        <v>176</v>
      </c>
      <c r="B242" s="4">
        <v>4270</v>
      </c>
      <c r="C242" s="79" t="s">
        <v>330</v>
      </c>
      <c r="D242" s="25"/>
      <c r="E242" s="46"/>
      <c r="F242" s="138">
        <f>SUM(F245:F246)</f>
        <v>60000</v>
      </c>
      <c r="G242" s="138">
        <f>SUM(G245:G246)</f>
        <v>9638</v>
      </c>
      <c r="H242" s="138">
        <f>SUM(H245:H246)</f>
        <v>50000</v>
      </c>
      <c r="I242" s="203">
        <f t="shared" si="9"/>
        <v>5.187798298402158</v>
      </c>
      <c r="J242" s="203">
        <f t="shared" si="10"/>
        <v>0.0010876527140546222</v>
      </c>
    </row>
    <row r="243" spans="1:10" ht="12.75">
      <c r="A243" s="158">
        <f t="shared" si="11"/>
        <v>177</v>
      </c>
      <c r="B243" s="4"/>
      <c r="C243" s="79" t="s">
        <v>15</v>
      </c>
      <c r="D243" s="25"/>
      <c r="E243" s="46"/>
      <c r="F243" s="138"/>
      <c r="G243" s="138"/>
      <c r="H243" s="138"/>
      <c r="I243" s="203"/>
      <c r="J243" s="203"/>
    </row>
    <row r="244" spans="1:10" ht="12.75">
      <c r="A244" s="158">
        <f t="shared" si="11"/>
        <v>178</v>
      </c>
      <c r="B244" s="4"/>
      <c r="C244" s="176" t="s">
        <v>425</v>
      </c>
      <c r="D244" s="25"/>
      <c r="E244" s="46"/>
      <c r="F244" s="138"/>
      <c r="G244" s="138"/>
      <c r="H244" s="138"/>
      <c r="I244" s="203"/>
      <c r="J244" s="203"/>
    </row>
    <row r="245" spans="1:10" ht="12.75">
      <c r="A245" s="158">
        <f t="shared" si="11"/>
        <v>179</v>
      </c>
      <c r="B245" s="4"/>
      <c r="C245" s="176" t="s">
        <v>426</v>
      </c>
      <c r="D245" s="25"/>
      <c r="E245" s="46"/>
      <c r="F245" s="138">
        <v>50000</v>
      </c>
      <c r="G245" s="138">
        <v>0</v>
      </c>
      <c r="H245" s="138">
        <v>50000</v>
      </c>
      <c r="I245" s="203"/>
      <c r="J245" s="203">
        <f t="shared" si="10"/>
        <v>0.0010876527140546222</v>
      </c>
    </row>
    <row r="246" spans="1:10" ht="12.75">
      <c r="A246" s="158">
        <f t="shared" si="11"/>
        <v>180</v>
      </c>
      <c r="B246" s="4"/>
      <c r="C246" s="176" t="s">
        <v>427</v>
      </c>
      <c r="D246" s="25"/>
      <c r="E246" s="46"/>
      <c r="F246" s="138">
        <v>10000</v>
      </c>
      <c r="G246" s="138">
        <v>9638</v>
      </c>
      <c r="H246" s="138">
        <v>0</v>
      </c>
      <c r="I246" s="203">
        <f t="shared" si="9"/>
        <v>0</v>
      </c>
      <c r="J246" s="203">
        <f t="shared" si="10"/>
        <v>0</v>
      </c>
    </row>
    <row r="247" spans="1:10" ht="12.75">
      <c r="A247" s="158">
        <f t="shared" si="11"/>
        <v>181</v>
      </c>
      <c r="B247" s="4">
        <v>4300</v>
      </c>
      <c r="C247" s="176" t="s">
        <v>428</v>
      </c>
      <c r="D247" s="25"/>
      <c r="E247" s="46"/>
      <c r="F247" s="138"/>
      <c r="G247" s="138"/>
      <c r="H247" s="138"/>
      <c r="I247" s="203"/>
      <c r="J247" s="203"/>
    </row>
    <row r="248" spans="1:10" ht="12.75">
      <c r="A248" s="158">
        <f t="shared" si="11"/>
        <v>182</v>
      </c>
      <c r="B248" s="4"/>
      <c r="C248" s="176" t="s">
        <v>429</v>
      </c>
      <c r="D248" s="25"/>
      <c r="E248" s="46"/>
      <c r="F248" s="138">
        <v>10000</v>
      </c>
      <c r="G248" s="138">
        <v>10000</v>
      </c>
      <c r="H248" s="138">
        <v>0</v>
      </c>
      <c r="I248" s="203">
        <f t="shared" si="9"/>
        <v>0</v>
      </c>
      <c r="J248" s="203">
        <f t="shared" si="10"/>
        <v>0</v>
      </c>
    </row>
    <row r="249" spans="1:10" ht="12.75">
      <c r="A249" s="158">
        <f t="shared" si="11"/>
        <v>183</v>
      </c>
      <c r="B249" s="4">
        <v>6050</v>
      </c>
      <c r="C249" s="79" t="s">
        <v>191</v>
      </c>
      <c r="D249" s="25"/>
      <c r="E249" s="46"/>
      <c r="F249" s="138"/>
      <c r="G249" s="138"/>
      <c r="H249" s="138"/>
      <c r="I249" s="203"/>
      <c r="J249" s="203"/>
    </row>
    <row r="250" spans="1:10" ht="12.75">
      <c r="A250" s="158">
        <f t="shared" si="11"/>
        <v>184</v>
      </c>
      <c r="B250" s="4"/>
      <c r="C250" s="176" t="s">
        <v>623</v>
      </c>
      <c r="D250" s="25"/>
      <c r="E250" s="46"/>
      <c r="F250" s="138">
        <v>121000</v>
      </c>
      <c r="G250" s="138">
        <v>21895.05</v>
      </c>
      <c r="H250" s="138">
        <v>300000</v>
      </c>
      <c r="I250" s="203">
        <f t="shared" si="9"/>
        <v>13.701727102701296</v>
      </c>
      <c r="J250" s="203">
        <f t="shared" si="10"/>
        <v>0.006525916284327734</v>
      </c>
    </row>
    <row r="251" spans="1:10" s="70" customFormat="1" ht="12.75">
      <c r="A251" s="158">
        <f t="shared" si="11"/>
        <v>185</v>
      </c>
      <c r="B251" s="56">
        <v>750</v>
      </c>
      <c r="C251" s="78" t="s">
        <v>102</v>
      </c>
      <c r="D251" s="58"/>
      <c r="E251" s="71" t="e">
        <f>E252+E270+E279+E408+#REF!+E411</f>
        <v>#REF!</v>
      </c>
      <c r="F251" s="151">
        <f>F252+F270+F279+F408+F411</f>
        <v>4961581</v>
      </c>
      <c r="G251" s="151">
        <f>G252+G270+G279+G408+G411</f>
        <v>4844559.71</v>
      </c>
      <c r="H251" s="151">
        <f>H252+H270+H279+H408+H411</f>
        <v>5473179.65</v>
      </c>
      <c r="I251" s="203">
        <f t="shared" si="9"/>
        <v>1.1297579094138155</v>
      </c>
      <c r="J251" s="203">
        <f t="shared" si="10"/>
        <v>0.11905837401662056</v>
      </c>
    </row>
    <row r="252" spans="1:10" s="73" customFormat="1" ht="12.75">
      <c r="A252" s="158">
        <f t="shared" si="11"/>
        <v>186</v>
      </c>
      <c r="B252" s="62">
        <v>75011</v>
      </c>
      <c r="C252" s="68" t="s">
        <v>62</v>
      </c>
      <c r="D252" s="63"/>
      <c r="E252" s="72">
        <f>SUM(E254:E267)</f>
        <v>134800</v>
      </c>
      <c r="F252" s="148">
        <f>F253+F254+F255+F256+F257+F258+F262+F266+F267+F269</f>
        <v>172592</v>
      </c>
      <c r="G252" s="148">
        <f>G253+G254+G255+G256+G257+G258+G262+G266+G267+G269</f>
        <v>171470</v>
      </c>
      <c r="H252" s="148">
        <f>H253+H254+H255+H256+H257+H258+H262+H266+H267+H269</f>
        <v>231001</v>
      </c>
      <c r="I252" s="203">
        <f t="shared" si="9"/>
        <v>1.3471802647693474</v>
      </c>
      <c r="J252" s="203">
        <f t="shared" si="10"/>
        <v>0.005024977291986636</v>
      </c>
    </row>
    <row r="253" spans="1:10" s="60" customFormat="1" ht="12.75">
      <c r="A253" s="158">
        <f t="shared" si="11"/>
        <v>187</v>
      </c>
      <c r="B253" s="85">
        <v>3020</v>
      </c>
      <c r="C253" s="79" t="s">
        <v>238</v>
      </c>
      <c r="D253" s="84"/>
      <c r="E253" s="83"/>
      <c r="F253" s="144">
        <v>0</v>
      </c>
      <c r="G253" s="144">
        <v>0</v>
      </c>
      <c r="H253" s="144">
        <v>0</v>
      </c>
      <c r="I253" s="203"/>
      <c r="J253" s="203">
        <f t="shared" si="10"/>
        <v>0</v>
      </c>
    </row>
    <row r="254" spans="1:10" ht="12.75">
      <c r="A254" s="158">
        <f t="shared" si="11"/>
        <v>188</v>
      </c>
      <c r="B254" s="15">
        <v>4010</v>
      </c>
      <c r="C254" s="120" t="s">
        <v>27</v>
      </c>
      <c r="D254" s="25"/>
      <c r="E254" s="46">
        <v>96400</v>
      </c>
      <c r="F254" s="138">
        <v>126200</v>
      </c>
      <c r="G254" s="138">
        <v>126200</v>
      </c>
      <c r="H254" s="138">
        <v>177000</v>
      </c>
      <c r="I254" s="203">
        <f t="shared" si="9"/>
        <v>1.4025356576862125</v>
      </c>
      <c r="J254" s="203">
        <f t="shared" si="10"/>
        <v>0.003850290607753363</v>
      </c>
    </row>
    <row r="255" spans="1:10" ht="12.75">
      <c r="A255" s="158">
        <f t="shared" si="11"/>
        <v>189</v>
      </c>
      <c r="B255" s="15">
        <v>4040</v>
      </c>
      <c r="C255" s="120" t="s">
        <v>28</v>
      </c>
      <c r="D255" s="25"/>
      <c r="E255" s="46">
        <v>7800</v>
      </c>
      <c r="F255" s="138">
        <v>8000</v>
      </c>
      <c r="G255" s="138">
        <v>6878</v>
      </c>
      <c r="H255" s="138">
        <v>8700</v>
      </c>
      <c r="I255" s="203">
        <f t="shared" si="9"/>
        <v>1.2649025879616167</v>
      </c>
      <c r="J255" s="203">
        <f t="shared" si="10"/>
        <v>0.00018925157224550427</v>
      </c>
    </row>
    <row r="256" spans="1:10" ht="12.75">
      <c r="A256" s="158">
        <f t="shared" si="11"/>
        <v>190</v>
      </c>
      <c r="B256" s="15">
        <v>4110</v>
      </c>
      <c r="C256" s="120" t="s">
        <v>32</v>
      </c>
      <c r="D256" s="25"/>
      <c r="E256" s="46">
        <v>18700</v>
      </c>
      <c r="F256" s="138">
        <f>23200+2085</f>
        <v>25285</v>
      </c>
      <c r="G256" s="138">
        <v>25285</v>
      </c>
      <c r="H256" s="138">
        <v>32000</v>
      </c>
      <c r="I256" s="203">
        <f t="shared" si="9"/>
        <v>1.2655724737986949</v>
      </c>
      <c r="J256" s="203">
        <f t="shared" si="10"/>
        <v>0.0006960977369949582</v>
      </c>
    </row>
    <row r="257" spans="1:10" ht="12.75">
      <c r="A257" s="158">
        <f t="shared" si="11"/>
        <v>191</v>
      </c>
      <c r="B257" s="15">
        <v>4120</v>
      </c>
      <c r="C257" s="120" t="s">
        <v>33</v>
      </c>
      <c r="D257" s="25"/>
      <c r="E257" s="46">
        <v>2600</v>
      </c>
      <c r="F257" s="138">
        <v>3300</v>
      </c>
      <c r="G257" s="138">
        <v>3300</v>
      </c>
      <c r="H257" s="138">
        <v>4600</v>
      </c>
      <c r="I257" s="203">
        <f t="shared" si="9"/>
        <v>1.393939393939394</v>
      </c>
      <c r="J257" s="203">
        <f t="shared" si="10"/>
        <v>0.00010006404969302524</v>
      </c>
    </row>
    <row r="258" spans="1:10" ht="12.75">
      <c r="A258" s="158">
        <f t="shared" si="11"/>
        <v>192</v>
      </c>
      <c r="B258" s="15">
        <v>4210</v>
      </c>
      <c r="C258" s="120" t="s">
        <v>136</v>
      </c>
      <c r="D258" s="25"/>
      <c r="E258" s="51">
        <v>2000</v>
      </c>
      <c r="F258" s="152">
        <f>SUM(F260:F261)</f>
        <v>3900</v>
      </c>
      <c r="G258" s="152">
        <f>SUM(G260:G261)</f>
        <v>3900</v>
      </c>
      <c r="H258" s="152">
        <f>SUM(H260:H261)</f>
        <v>5650</v>
      </c>
      <c r="I258" s="203">
        <f t="shared" si="9"/>
        <v>1.4487179487179487</v>
      </c>
      <c r="J258" s="203">
        <f t="shared" si="10"/>
        <v>0.0001229047566881723</v>
      </c>
    </row>
    <row r="259" spans="1:10" ht="12.75">
      <c r="A259" s="158">
        <f t="shared" si="11"/>
        <v>193</v>
      </c>
      <c r="B259" s="15"/>
      <c r="C259" s="120" t="s">
        <v>15</v>
      </c>
      <c r="D259" s="25"/>
      <c r="E259" s="99"/>
      <c r="F259" s="152"/>
      <c r="G259" s="152"/>
      <c r="H259" s="152"/>
      <c r="I259" s="203"/>
      <c r="J259" s="203"/>
    </row>
    <row r="260" spans="1:10" ht="12.75">
      <c r="A260" s="158">
        <f t="shared" si="11"/>
        <v>194</v>
      </c>
      <c r="B260" s="15"/>
      <c r="C260" s="120" t="s">
        <v>220</v>
      </c>
      <c r="D260" s="25"/>
      <c r="E260" s="99"/>
      <c r="F260" s="152">
        <v>2900</v>
      </c>
      <c r="G260" s="152">
        <v>2900</v>
      </c>
      <c r="H260" s="152">
        <f>900+800+700+500+300+200+350+400+1500</f>
        <v>5650</v>
      </c>
      <c r="I260" s="203">
        <f t="shared" si="9"/>
        <v>1.9482758620689655</v>
      </c>
      <c r="J260" s="203">
        <f t="shared" si="10"/>
        <v>0.0001229047566881723</v>
      </c>
    </row>
    <row r="261" spans="1:10" ht="12.75">
      <c r="A261" s="158">
        <f t="shared" si="11"/>
        <v>195</v>
      </c>
      <c r="B261" s="15"/>
      <c r="C261" s="120" t="s">
        <v>221</v>
      </c>
      <c r="D261" s="25"/>
      <c r="E261" s="99"/>
      <c r="F261" s="152">
        <v>1000</v>
      </c>
      <c r="G261" s="152">
        <v>1000</v>
      </c>
      <c r="H261" s="152">
        <v>0</v>
      </c>
      <c r="I261" s="203">
        <f t="shared" si="9"/>
        <v>0</v>
      </c>
      <c r="J261" s="203">
        <f t="shared" si="10"/>
        <v>0</v>
      </c>
    </row>
    <row r="262" spans="1:10" ht="12.75">
      <c r="A262" s="158">
        <f t="shared" si="11"/>
        <v>196</v>
      </c>
      <c r="B262" s="15">
        <v>4300</v>
      </c>
      <c r="C262" s="120" t="s">
        <v>134</v>
      </c>
      <c r="D262" s="25"/>
      <c r="E262" s="46">
        <v>5100</v>
      </c>
      <c r="F262" s="138">
        <f>SUM(F264:F265)</f>
        <v>3000</v>
      </c>
      <c r="G262" s="138">
        <f>SUM(G264:G265)</f>
        <v>3000</v>
      </c>
      <c r="H262" s="138">
        <f>SUM(H264:H265)</f>
        <v>300</v>
      </c>
      <c r="I262" s="203">
        <f t="shared" si="9"/>
        <v>0.1</v>
      </c>
      <c r="J262" s="203">
        <f t="shared" si="10"/>
        <v>6.525916284327734E-06</v>
      </c>
    </row>
    <row r="263" spans="1:10" ht="12.75">
      <c r="A263" s="158">
        <f t="shared" si="11"/>
        <v>197</v>
      </c>
      <c r="B263" s="15"/>
      <c r="C263" s="120" t="s">
        <v>15</v>
      </c>
      <c r="D263" s="25"/>
      <c r="E263" s="46"/>
      <c r="F263" s="138"/>
      <c r="G263" s="138"/>
      <c r="H263" s="138"/>
      <c r="I263" s="203"/>
      <c r="J263" s="203"/>
    </row>
    <row r="264" spans="1:10" ht="12.75">
      <c r="A264" s="158">
        <f t="shared" si="11"/>
        <v>198</v>
      </c>
      <c r="B264" s="15"/>
      <c r="C264" s="120" t="s">
        <v>220</v>
      </c>
      <c r="D264" s="25"/>
      <c r="E264" s="46"/>
      <c r="F264" s="138">
        <v>1000</v>
      </c>
      <c r="G264" s="138">
        <v>1000</v>
      </c>
      <c r="H264" s="138">
        <f>200+100</f>
        <v>300</v>
      </c>
      <c r="I264" s="203">
        <f t="shared" si="9"/>
        <v>0.3</v>
      </c>
      <c r="J264" s="203">
        <f t="shared" si="10"/>
        <v>6.525916284327734E-06</v>
      </c>
    </row>
    <row r="265" spans="1:10" ht="12.75">
      <c r="A265" s="158">
        <f t="shared" si="11"/>
        <v>199</v>
      </c>
      <c r="B265" s="15"/>
      <c r="C265" s="120" t="s">
        <v>221</v>
      </c>
      <c r="D265" s="25"/>
      <c r="E265" s="46"/>
      <c r="F265" s="138">
        <v>2000</v>
      </c>
      <c r="G265" s="138">
        <v>2000</v>
      </c>
      <c r="H265" s="138">
        <v>0</v>
      </c>
      <c r="I265" s="203">
        <f t="shared" si="9"/>
        <v>0</v>
      </c>
      <c r="J265" s="203">
        <f t="shared" si="10"/>
        <v>0</v>
      </c>
    </row>
    <row r="266" spans="1:10" ht="12.75">
      <c r="A266" s="158">
        <f t="shared" si="11"/>
        <v>200</v>
      </c>
      <c r="B266" s="15">
        <v>4410</v>
      </c>
      <c r="C266" s="120" t="s">
        <v>29</v>
      </c>
      <c r="D266" s="25"/>
      <c r="E266" s="45">
        <v>1000</v>
      </c>
      <c r="F266" s="138">
        <v>500</v>
      </c>
      <c r="G266" s="138">
        <v>500</v>
      </c>
      <c r="H266" s="138">
        <v>0</v>
      </c>
      <c r="I266" s="203">
        <f t="shared" si="9"/>
        <v>0</v>
      </c>
      <c r="J266" s="203">
        <f t="shared" si="10"/>
        <v>0</v>
      </c>
    </row>
    <row r="267" spans="1:10" ht="12.75">
      <c r="A267" s="158">
        <f t="shared" si="11"/>
        <v>201</v>
      </c>
      <c r="B267" s="15">
        <v>4440</v>
      </c>
      <c r="C267" s="120" t="s">
        <v>671</v>
      </c>
      <c r="D267" s="25"/>
      <c r="E267" s="46">
        <v>1200</v>
      </c>
      <c r="F267" s="138">
        <v>1207</v>
      </c>
      <c r="G267" s="138">
        <v>1207</v>
      </c>
      <c r="H267" s="138">
        <v>1251</v>
      </c>
      <c r="I267" s="203">
        <f t="shared" si="9"/>
        <v>1.0364540182270092</v>
      </c>
      <c r="J267" s="203">
        <f t="shared" si="10"/>
        <v>2.7213070905646648E-05</v>
      </c>
    </row>
    <row r="268" spans="1:10" ht="12.75">
      <c r="A268" s="158">
        <f t="shared" si="11"/>
        <v>202</v>
      </c>
      <c r="B268" s="15">
        <v>4700</v>
      </c>
      <c r="C268" s="120" t="s">
        <v>342</v>
      </c>
      <c r="D268" s="25"/>
      <c r="E268" s="46"/>
      <c r="F268" s="138"/>
      <c r="G268" s="138"/>
      <c r="H268" s="138"/>
      <c r="I268" s="203"/>
      <c r="J268" s="203"/>
    </row>
    <row r="269" spans="1:10" ht="12.75">
      <c r="A269" s="158">
        <f t="shared" si="11"/>
        <v>203</v>
      </c>
      <c r="B269" s="15"/>
      <c r="C269" s="120" t="s">
        <v>341</v>
      </c>
      <c r="D269" s="25"/>
      <c r="E269" s="46"/>
      <c r="F269" s="138">
        <v>1200</v>
      </c>
      <c r="G269" s="138">
        <v>1200</v>
      </c>
      <c r="H269" s="138">
        <v>1500</v>
      </c>
      <c r="I269" s="203">
        <f t="shared" si="9"/>
        <v>1.25</v>
      </c>
      <c r="J269" s="203">
        <f t="shared" si="10"/>
        <v>3.262958142163867E-05</v>
      </c>
    </row>
    <row r="270" spans="1:10" s="73" customFormat="1" ht="12.75">
      <c r="A270" s="158">
        <f t="shared" si="11"/>
        <v>204</v>
      </c>
      <c r="B270" s="62">
        <v>75022</v>
      </c>
      <c r="C270" s="68" t="s">
        <v>103</v>
      </c>
      <c r="D270" s="63"/>
      <c r="E270" s="72" t="e">
        <f>E271+E272+E273+E275+#REF!</f>
        <v>#REF!</v>
      </c>
      <c r="F270" s="148">
        <f>SUM(F271:F278)</f>
        <v>120000</v>
      </c>
      <c r="G270" s="148">
        <f>SUM(G271:G278)</f>
        <v>120000</v>
      </c>
      <c r="H270" s="148">
        <f>SUM(H271:H278)</f>
        <v>151000</v>
      </c>
      <c r="I270" s="203">
        <f t="shared" si="9"/>
        <v>1.2583333333333333</v>
      </c>
      <c r="J270" s="203">
        <f t="shared" si="10"/>
        <v>0.0032847111964449593</v>
      </c>
    </row>
    <row r="271" spans="1:10" ht="12.75">
      <c r="A271" s="158">
        <f t="shared" si="11"/>
        <v>205</v>
      </c>
      <c r="B271" s="15">
        <v>3030</v>
      </c>
      <c r="C271" s="120" t="s">
        <v>672</v>
      </c>
      <c r="D271" s="25"/>
      <c r="E271" s="46">
        <v>110000</v>
      </c>
      <c r="F271" s="138">
        <v>98000</v>
      </c>
      <c r="G271" s="138">
        <v>98000</v>
      </c>
      <c r="H271" s="138">
        <v>129000</v>
      </c>
      <c r="I271" s="203">
        <f t="shared" si="9"/>
        <v>1.316326530612245</v>
      </c>
      <c r="J271" s="203">
        <f t="shared" si="10"/>
        <v>0.0028061440022609254</v>
      </c>
    </row>
    <row r="272" spans="1:10" ht="12.75">
      <c r="A272" s="158">
        <f t="shared" si="11"/>
        <v>206</v>
      </c>
      <c r="B272" s="15">
        <v>4210</v>
      </c>
      <c r="C272" s="120" t="s">
        <v>136</v>
      </c>
      <c r="D272" s="25"/>
      <c r="E272" s="46">
        <v>6400</v>
      </c>
      <c r="F272" s="138">
        <v>6000</v>
      </c>
      <c r="G272" s="138">
        <v>6000</v>
      </c>
      <c r="H272" s="138">
        <v>6000</v>
      </c>
      <c r="I272" s="203">
        <f t="shared" si="9"/>
        <v>1</v>
      </c>
      <c r="J272" s="203">
        <f t="shared" si="10"/>
        <v>0.00013051832568655467</v>
      </c>
    </row>
    <row r="273" spans="1:10" ht="12.75">
      <c r="A273" s="158">
        <f t="shared" si="11"/>
        <v>207</v>
      </c>
      <c r="B273" s="15">
        <v>4300</v>
      </c>
      <c r="C273" s="120" t="s">
        <v>134</v>
      </c>
      <c r="D273" s="25"/>
      <c r="E273" s="45">
        <f>SUM(E274:E274)</f>
        <v>5300</v>
      </c>
      <c r="F273" s="138"/>
      <c r="G273" s="138"/>
      <c r="H273" s="138"/>
      <c r="I273" s="203"/>
      <c r="J273" s="203"/>
    </row>
    <row r="274" spans="1:10" ht="12.75">
      <c r="A274" s="158">
        <f t="shared" si="11"/>
        <v>208</v>
      </c>
      <c r="B274" s="74"/>
      <c r="C274" s="120" t="s">
        <v>430</v>
      </c>
      <c r="D274" s="25"/>
      <c r="E274" s="46">
        <v>5300</v>
      </c>
      <c r="F274" s="138">
        <v>8000</v>
      </c>
      <c r="G274" s="138">
        <v>8000</v>
      </c>
      <c r="H274" s="138">
        <v>8000</v>
      </c>
      <c r="I274" s="203">
        <f t="shared" si="9"/>
        <v>1</v>
      </c>
      <c r="J274" s="203">
        <f t="shared" si="10"/>
        <v>0.00017402443424873956</v>
      </c>
    </row>
    <row r="275" spans="1:10" ht="12.75">
      <c r="A275" s="158">
        <f t="shared" si="11"/>
        <v>209</v>
      </c>
      <c r="B275" s="15">
        <v>4410</v>
      </c>
      <c r="C275" s="120" t="s">
        <v>29</v>
      </c>
      <c r="D275" s="25"/>
      <c r="E275" s="51" t="e">
        <f>SUM(#REF!)</f>
        <v>#REF!</v>
      </c>
      <c r="F275" s="152">
        <v>2000</v>
      </c>
      <c r="G275" s="152">
        <v>2000</v>
      </c>
      <c r="H275" s="152">
        <v>2000</v>
      </c>
      <c r="I275" s="203">
        <f aca="true" t="shared" si="12" ref="I275:I322">H275/G275</f>
        <v>1</v>
      </c>
      <c r="J275" s="203">
        <f t="shared" si="10"/>
        <v>4.350610856218489E-05</v>
      </c>
    </row>
    <row r="276" spans="1:10" ht="12.75">
      <c r="A276" s="158">
        <f t="shared" si="11"/>
        <v>210</v>
      </c>
      <c r="B276" s="15">
        <v>4420</v>
      </c>
      <c r="C276" s="120" t="s">
        <v>43</v>
      </c>
      <c r="D276" s="25"/>
      <c r="E276" s="99"/>
      <c r="F276" s="152">
        <v>1000</v>
      </c>
      <c r="G276" s="152">
        <v>1000</v>
      </c>
      <c r="H276" s="152">
        <v>1000</v>
      </c>
      <c r="I276" s="203">
        <f t="shared" si="12"/>
        <v>1</v>
      </c>
      <c r="J276" s="203">
        <f t="shared" si="10"/>
        <v>2.1753054281092445E-05</v>
      </c>
    </row>
    <row r="277" spans="1:10" ht="12.75">
      <c r="A277" s="158">
        <f t="shared" si="11"/>
        <v>211</v>
      </c>
      <c r="B277" s="15">
        <v>4700</v>
      </c>
      <c r="C277" s="120" t="s">
        <v>342</v>
      </c>
      <c r="D277" s="25"/>
      <c r="E277" s="99"/>
      <c r="F277" s="152"/>
      <c r="G277" s="152"/>
      <c r="H277" s="152"/>
      <c r="I277" s="203"/>
      <c r="J277" s="203"/>
    </row>
    <row r="278" spans="1:10" ht="12.75">
      <c r="A278" s="158">
        <f t="shared" si="11"/>
        <v>212</v>
      </c>
      <c r="B278" s="15"/>
      <c r="C278" s="120" t="s">
        <v>341</v>
      </c>
      <c r="D278" s="25"/>
      <c r="E278" s="99"/>
      <c r="F278" s="152">
        <v>5000</v>
      </c>
      <c r="G278" s="152">
        <v>5000</v>
      </c>
      <c r="H278" s="152">
        <v>5000</v>
      </c>
      <c r="I278" s="203">
        <f t="shared" si="12"/>
        <v>1</v>
      </c>
      <c r="J278" s="203">
        <f t="shared" si="10"/>
        <v>0.00010876527140546222</v>
      </c>
    </row>
    <row r="279" spans="1:10" s="73" customFormat="1" ht="12.75">
      <c r="A279" s="158">
        <f t="shared" si="11"/>
        <v>213</v>
      </c>
      <c r="B279" s="62">
        <v>75023</v>
      </c>
      <c r="C279" s="68" t="s">
        <v>104</v>
      </c>
      <c r="D279" s="63"/>
      <c r="E279" s="72" t="e">
        <f>E280+E284+E286+E287+E288+E289+E290+E293+E308+E320+E364+E369+E370+E375+E377+E400</f>
        <v>#REF!</v>
      </c>
      <c r="F279" s="148">
        <f>F280+F285+F286+F287+F288+F289+F290+F292+F293+F308+F313+F319+F320+F357+F359+F361+F363+F364+F369+F370+F375+F376+F377+F382+F384+F386+F390+F400</f>
        <v>4261537</v>
      </c>
      <c r="G279" s="148">
        <f>G280+G285+G286+G287+G288+G289+G290+G292+G293+G308+G313+G319+G320+G357+G359+G361+G363+G364+G369+G370+G375+G376+G377+G382+G384+G386+G390+G400</f>
        <v>4153957.55</v>
      </c>
      <c r="H279" s="148">
        <f>H280+H285+H286+H287+H288+H289+H290+H292+H293+H308+H313+H319+H320+H357+H359+H361+H363+H364+H369+H370+H375+H376+H377+H382+H384+H386+H390+H400</f>
        <v>4126328.65</v>
      </c>
      <c r="I279" s="203">
        <f t="shared" si="12"/>
        <v>0.9933487765179497</v>
      </c>
      <c r="J279" s="203">
        <f t="shared" si="10"/>
        <v>0.0897602511050769</v>
      </c>
    </row>
    <row r="280" spans="1:10" ht="12.75">
      <c r="A280" s="158">
        <f t="shared" si="11"/>
        <v>214</v>
      </c>
      <c r="B280" s="15">
        <v>3020</v>
      </c>
      <c r="C280" s="123" t="s">
        <v>238</v>
      </c>
      <c r="D280" s="25"/>
      <c r="E280" s="45">
        <f>SUM(E282:E283)</f>
        <v>6800</v>
      </c>
      <c r="F280" s="28">
        <f>SUM(F282:F283)</f>
        <v>6900</v>
      </c>
      <c r="G280" s="28">
        <f>SUM(G282:G283)</f>
        <v>6900</v>
      </c>
      <c r="H280" s="28">
        <f>SUM(H282:H283)</f>
        <v>8620</v>
      </c>
      <c r="I280" s="203">
        <f t="shared" si="12"/>
        <v>1.2492753623188406</v>
      </c>
      <c r="J280" s="203">
        <f t="shared" si="10"/>
        <v>0.00018751132790301687</v>
      </c>
    </row>
    <row r="281" spans="1:10" ht="12.75">
      <c r="A281" s="158">
        <f t="shared" si="11"/>
        <v>215</v>
      </c>
      <c r="B281" s="15"/>
      <c r="C281" s="120" t="s">
        <v>15</v>
      </c>
      <c r="D281" s="25"/>
      <c r="E281" s="46"/>
      <c r="F281" s="138"/>
      <c r="G281" s="138"/>
      <c r="H281" s="138"/>
      <c r="I281" s="203"/>
      <c r="J281" s="203"/>
    </row>
    <row r="282" spans="1:10" ht="12.75">
      <c r="A282" s="158">
        <f t="shared" si="11"/>
        <v>216</v>
      </c>
      <c r="B282" s="15"/>
      <c r="C282" s="120" t="s">
        <v>63</v>
      </c>
      <c r="D282" s="25"/>
      <c r="E282" s="46">
        <v>800</v>
      </c>
      <c r="F282" s="138">
        <v>400</v>
      </c>
      <c r="G282" s="138">
        <v>400</v>
      </c>
      <c r="H282" s="138">
        <v>1120</v>
      </c>
      <c r="I282" s="203">
        <f t="shared" si="12"/>
        <v>2.8</v>
      </c>
      <c r="J282" s="203">
        <f t="shared" si="10"/>
        <v>2.436342079482354E-05</v>
      </c>
    </row>
    <row r="283" spans="1:10" ht="12.75">
      <c r="A283" s="158">
        <f t="shared" si="11"/>
        <v>217</v>
      </c>
      <c r="B283" s="15"/>
      <c r="C283" s="120" t="s">
        <v>64</v>
      </c>
      <c r="D283" s="25"/>
      <c r="E283" s="46">
        <v>6000</v>
      </c>
      <c r="F283" s="138">
        <v>6500</v>
      </c>
      <c r="G283" s="138">
        <v>6500</v>
      </c>
      <c r="H283" s="138">
        <v>7500</v>
      </c>
      <c r="I283" s="203">
        <f t="shared" si="12"/>
        <v>1.1538461538461537</v>
      </c>
      <c r="J283" s="203">
        <f t="shared" si="10"/>
        <v>0.00016314790710819334</v>
      </c>
    </row>
    <row r="284" spans="1:10" ht="12.75">
      <c r="A284" s="158">
        <f t="shared" si="11"/>
        <v>218</v>
      </c>
      <c r="B284" s="15">
        <v>3030</v>
      </c>
      <c r="C284" s="120" t="s">
        <v>673</v>
      </c>
      <c r="D284" s="25"/>
      <c r="E284" s="45">
        <f>SUM(E285:E285)</f>
        <v>5100</v>
      </c>
      <c r="F284" s="138"/>
      <c r="G284" s="138"/>
      <c r="H284" s="138"/>
      <c r="I284" s="203"/>
      <c r="J284" s="203"/>
    </row>
    <row r="285" spans="1:10" ht="12.75">
      <c r="A285" s="158">
        <f t="shared" si="11"/>
        <v>219</v>
      </c>
      <c r="B285" s="15"/>
      <c r="C285" s="120" t="s">
        <v>197</v>
      </c>
      <c r="D285" s="25"/>
      <c r="E285" s="46">
        <v>5100</v>
      </c>
      <c r="F285" s="138">
        <v>6800</v>
      </c>
      <c r="G285" s="138">
        <v>6739.2</v>
      </c>
      <c r="H285" s="138">
        <v>8110</v>
      </c>
      <c r="I285" s="203">
        <f t="shared" si="12"/>
        <v>1.2034069325735992</v>
      </c>
      <c r="J285" s="203">
        <f aca="true" t="shared" si="13" ref="J285:J316">H285/$H$1363</f>
        <v>0.00017641727021965972</v>
      </c>
    </row>
    <row r="286" spans="1:10" ht="12.75">
      <c r="A286" s="158">
        <f aca="true" t="shared" si="14" ref="A286:A349">A285+1</f>
        <v>220</v>
      </c>
      <c r="B286" s="15">
        <v>4010</v>
      </c>
      <c r="C286" s="120" t="s">
        <v>27</v>
      </c>
      <c r="D286" s="25"/>
      <c r="E286" s="46">
        <v>1320000</v>
      </c>
      <c r="F286" s="138">
        <v>1710670</v>
      </c>
      <c r="G286" s="138">
        <f>1710670-56496</f>
        <v>1654174</v>
      </c>
      <c r="H286" s="138">
        <v>1774000</v>
      </c>
      <c r="I286" s="203">
        <f t="shared" si="12"/>
        <v>1.0724385705494102</v>
      </c>
      <c r="J286" s="203">
        <f t="shared" si="13"/>
        <v>0.038589918294658</v>
      </c>
    </row>
    <row r="287" spans="1:10" ht="12.75">
      <c r="A287" s="158">
        <f t="shared" si="14"/>
        <v>221</v>
      </c>
      <c r="B287" s="15">
        <v>4040</v>
      </c>
      <c r="C287" s="120" t="s">
        <v>28</v>
      </c>
      <c r="D287" s="25"/>
      <c r="E287" s="46">
        <v>94000</v>
      </c>
      <c r="F287" s="138">
        <v>110939</v>
      </c>
      <c r="G287" s="138">
        <v>110816</v>
      </c>
      <c r="H287" s="138">
        <v>132000</v>
      </c>
      <c r="I287" s="203">
        <f t="shared" si="12"/>
        <v>1.1911637308691885</v>
      </c>
      <c r="J287" s="203">
        <f t="shared" si="13"/>
        <v>0.0028714031651042027</v>
      </c>
    </row>
    <row r="288" spans="1:10" ht="12.75">
      <c r="A288" s="158">
        <f t="shared" si="14"/>
        <v>222</v>
      </c>
      <c r="B288" s="15">
        <v>4110</v>
      </c>
      <c r="C288" s="120" t="s">
        <v>674</v>
      </c>
      <c r="D288" s="25"/>
      <c r="E288" s="46">
        <v>252000</v>
      </c>
      <c r="F288" s="138">
        <v>299054</v>
      </c>
      <c r="G288" s="138">
        <v>299054</v>
      </c>
      <c r="H288" s="138">
        <v>326000</v>
      </c>
      <c r="I288" s="203">
        <f t="shared" si="12"/>
        <v>1.0901041283514015</v>
      </c>
      <c r="J288" s="203">
        <f t="shared" si="13"/>
        <v>0.007091495695636137</v>
      </c>
    </row>
    <row r="289" spans="1:10" ht="12.75">
      <c r="A289" s="158">
        <f t="shared" si="14"/>
        <v>223</v>
      </c>
      <c r="B289" s="15">
        <v>4120</v>
      </c>
      <c r="C289" s="120" t="s">
        <v>33</v>
      </c>
      <c r="D289" s="25"/>
      <c r="E289" s="46">
        <v>34500</v>
      </c>
      <c r="F289" s="138">
        <v>42543</v>
      </c>
      <c r="G289" s="138">
        <v>42543</v>
      </c>
      <c r="H289" s="138">
        <v>47000</v>
      </c>
      <c r="I289" s="203">
        <f t="shared" si="12"/>
        <v>1.1047645911195731</v>
      </c>
      <c r="J289" s="203">
        <f t="shared" si="13"/>
        <v>0.001022393551211345</v>
      </c>
    </row>
    <row r="290" spans="1:10" ht="12.75">
      <c r="A290" s="158">
        <f t="shared" si="14"/>
        <v>224</v>
      </c>
      <c r="B290" s="15">
        <v>4140</v>
      </c>
      <c r="C290" s="120" t="s">
        <v>159</v>
      </c>
      <c r="D290" s="25"/>
      <c r="E290" s="46">
        <v>8000</v>
      </c>
      <c r="F290" s="138">
        <v>15617</v>
      </c>
      <c r="G290" s="138">
        <v>15617</v>
      </c>
      <c r="H290" s="138">
        <v>25000</v>
      </c>
      <c r="I290" s="203">
        <f t="shared" si="12"/>
        <v>1.6008196196452584</v>
      </c>
      <c r="J290" s="203">
        <f t="shared" si="13"/>
        <v>0.0005438263570273111</v>
      </c>
    </row>
    <row r="291" spans="1:10" ht="12.75">
      <c r="A291" s="158">
        <f t="shared" si="14"/>
        <v>225</v>
      </c>
      <c r="B291" s="15">
        <v>4170</v>
      </c>
      <c r="C291" s="120" t="s">
        <v>431</v>
      </c>
      <c r="D291" s="25"/>
      <c r="E291" s="46"/>
      <c r="F291" s="138"/>
      <c r="G291" s="138"/>
      <c r="H291" s="138"/>
      <c r="I291" s="203"/>
      <c r="J291" s="203">
        <f t="shared" si="13"/>
        <v>0</v>
      </c>
    </row>
    <row r="292" spans="1:10" ht="12.75">
      <c r="A292" s="158">
        <f t="shared" si="14"/>
        <v>226</v>
      </c>
      <c r="B292" s="15"/>
      <c r="C292" s="120" t="s">
        <v>549</v>
      </c>
      <c r="D292" s="25"/>
      <c r="E292" s="46"/>
      <c r="F292" s="138">
        <v>30500</v>
      </c>
      <c r="G292" s="138">
        <v>30500</v>
      </c>
      <c r="H292" s="138">
        <f>6000+20000-4800</f>
        <v>21200</v>
      </c>
      <c r="I292" s="203">
        <f t="shared" si="12"/>
        <v>0.6950819672131148</v>
      </c>
      <c r="J292" s="203">
        <f t="shared" si="13"/>
        <v>0.00046116475075915983</v>
      </c>
    </row>
    <row r="293" spans="1:10" ht="12.75">
      <c r="A293" s="158">
        <f t="shared" si="14"/>
        <v>227</v>
      </c>
      <c r="B293" s="15">
        <v>4210</v>
      </c>
      <c r="C293" s="120" t="s">
        <v>136</v>
      </c>
      <c r="D293" s="25"/>
      <c r="E293" s="51">
        <f>SUM(E295:E305)</f>
        <v>115280</v>
      </c>
      <c r="F293" s="152">
        <f>SUM(F295:F307)</f>
        <v>168530</v>
      </c>
      <c r="G293" s="152">
        <f>SUM(G295:G307)</f>
        <v>168530</v>
      </c>
      <c r="H293" s="152">
        <f>SUM(H295:H307)</f>
        <v>220250</v>
      </c>
      <c r="I293" s="203">
        <f t="shared" si="12"/>
        <v>1.3068889811902926</v>
      </c>
      <c r="J293" s="203">
        <f t="shared" si="13"/>
        <v>0.004791110205410611</v>
      </c>
    </row>
    <row r="294" spans="1:10" ht="12.75">
      <c r="A294" s="158">
        <f t="shared" si="14"/>
        <v>228</v>
      </c>
      <c r="B294" s="15"/>
      <c r="C294" s="120" t="s">
        <v>15</v>
      </c>
      <c r="D294" s="25"/>
      <c r="E294" s="46"/>
      <c r="F294" s="138"/>
      <c r="G294" s="138"/>
      <c r="H294" s="138"/>
      <c r="I294" s="203"/>
      <c r="J294" s="203"/>
    </row>
    <row r="295" spans="1:10" ht="12.75">
      <c r="A295" s="158">
        <f t="shared" si="14"/>
        <v>229</v>
      </c>
      <c r="B295" s="15"/>
      <c r="C295" s="120" t="s">
        <v>66</v>
      </c>
      <c r="D295" s="25"/>
      <c r="E295" s="46">
        <v>8000</v>
      </c>
      <c r="F295" s="152">
        <v>11600</v>
      </c>
      <c r="G295" s="152">
        <v>11600</v>
      </c>
      <c r="H295" s="152">
        <v>11860</v>
      </c>
      <c r="I295" s="203">
        <f t="shared" si="12"/>
        <v>1.0224137931034483</v>
      </c>
      <c r="J295" s="203">
        <f t="shared" si="13"/>
        <v>0.0002579912237737564</v>
      </c>
    </row>
    <row r="296" spans="1:10" ht="12.75">
      <c r="A296" s="158">
        <f t="shared" si="14"/>
        <v>230</v>
      </c>
      <c r="B296" s="15"/>
      <c r="C296" s="120" t="s">
        <v>67</v>
      </c>
      <c r="D296" s="25"/>
      <c r="E296" s="46">
        <v>22000</v>
      </c>
      <c r="F296" s="152">
        <v>23800</v>
      </c>
      <c r="G296" s="152">
        <v>23800</v>
      </c>
      <c r="H296" s="152">
        <v>24300</v>
      </c>
      <c r="I296" s="203">
        <f t="shared" si="12"/>
        <v>1.0210084033613445</v>
      </c>
      <c r="J296" s="203">
        <f t="shared" si="13"/>
        <v>0.0005285992190305465</v>
      </c>
    </row>
    <row r="297" spans="1:10" ht="12.75">
      <c r="A297" s="158">
        <f t="shared" si="14"/>
        <v>231</v>
      </c>
      <c r="B297" s="15"/>
      <c r="C297" s="120" t="s">
        <v>432</v>
      </c>
      <c r="D297" s="25"/>
      <c r="E297" s="46">
        <v>9000</v>
      </c>
      <c r="F297" s="152">
        <v>500</v>
      </c>
      <c r="G297" s="152">
        <v>500</v>
      </c>
      <c r="H297" s="152">
        <v>500</v>
      </c>
      <c r="I297" s="203">
        <f t="shared" si="12"/>
        <v>1</v>
      </c>
      <c r="J297" s="203">
        <f t="shared" si="13"/>
        <v>1.0876527140546222E-05</v>
      </c>
    </row>
    <row r="298" spans="1:10" ht="12.75">
      <c r="A298" s="158">
        <f t="shared" si="14"/>
        <v>232</v>
      </c>
      <c r="B298" s="15"/>
      <c r="C298" s="120" t="s">
        <v>68</v>
      </c>
      <c r="D298" s="25"/>
      <c r="E298" s="46">
        <v>23280</v>
      </c>
      <c r="F298" s="152">
        <f>39050+2000</f>
        <v>41050</v>
      </c>
      <c r="G298" s="152">
        <v>41050</v>
      </c>
      <c r="H298" s="152">
        <v>64000</v>
      </c>
      <c r="I298" s="203">
        <f t="shared" si="12"/>
        <v>1.5590742996345919</v>
      </c>
      <c r="J298" s="203">
        <f t="shared" si="13"/>
        <v>0.0013921954739899165</v>
      </c>
    </row>
    <row r="299" spans="1:10" ht="12.75">
      <c r="A299" s="158">
        <f t="shared" si="14"/>
        <v>233</v>
      </c>
      <c r="B299" s="15"/>
      <c r="C299" s="120" t="s">
        <v>69</v>
      </c>
      <c r="D299" s="25"/>
      <c r="E299" s="46">
        <v>15000</v>
      </c>
      <c r="F299" s="152">
        <v>10700</v>
      </c>
      <c r="G299" s="152">
        <v>10700</v>
      </c>
      <c r="H299" s="152">
        <v>11000</v>
      </c>
      <c r="I299" s="203">
        <f t="shared" si="12"/>
        <v>1.02803738317757</v>
      </c>
      <c r="J299" s="203">
        <f t="shared" si="13"/>
        <v>0.0002392835970920169</v>
      </c>
    </row>
    <row r="300" spans="1:10" ht="12.75">
      <c r="A300" s="158">
        <f t="shared" si="14"/>
        <v>234</v>
      </c>
      <c r="B300" s="15"/>
      <c r="C300" s="120" t="s">
        <v>70</v>
      </c>
      <c r="D300" s="25"/>
      <c r="E300" s="46">
        <v>7400</v>
      </c>
      <c r="F300" s="152">
        <v>9320</v>
      </c>
      <c r="G300" s="152">
        <v>9320</v>
      </c>
      <c r="H300" s="152">
        <v>9530</v>
      </c>
      <c r="I300" s="203">
        <f t="shared" si="12"/>
        <v>1.0225321888412018</v>
      </c>
      <c r="J300" s="203">
        <f t="shared" si="13"/>
        <v>0.000207306607298811</v>
      </c>
    </row>
    <row r="301" spans="1:10" ht="12.75">
      <c r="A301" s="158">
        <f t="shared" si="14"/>
        <v>235</v>
      </c>
      <c r="B301" s="15"/>
      <c r="C301" s="120" t="s">
        <v>71</v>
      </c>
      <c r="D301" s="25"/>
      <c r="E301" s="46">
        <v>18000</v>
      </c>
      <c r="F301" s="152">
        <v>14000</v>
      </c>
      <c r="G301" s="152">
        <v>14000</v>
      </c>
      <c r="H301" s="152">
        <v>14500</v>
      </c>
      <c r="I301" s="203">
        <f t="shared" si="12"/>
        <v>1.0357142857142858</v>
      </c>
      <c r="J301" s="203">
        <f t="shared" si="13"/>
        <v>0.00031541928707584047</v>
      </c>
    </row>
    <row r="302" spans="1:10" ht="12.75">
      <c r="A302" s="158">
        <f t="shared" si="14"/>
        <v>236</v>
      </c>
      <c r="B302" s="15"/>
      <c r="C302" s="120" t="s">
        <v>301</v>
      </c>
      <c r="D302" s="25"/>
      <c r="E302" s="46">
        <f>500+600</f>
        <v>1100</v>
      </c>
      <c r="F302" s="152">
        <v>0</v>
      </c>
      <c r="G302" s="152">
        <v>0</v>
      </c>
      <c r="H302" s="152">
        <v>0</v>
      </c>
      <c r="I302" s="203"/>
      <c r="J302" s="203">
        <f t="shared" si="13"/>
        <v>0</v>
      </c>
    </row>
    <row r="303" spans="1:10" ht="12.75">
      <c r="A303" s="158">
        <f t="shared" si="14"/>
        <v>237</v>
      </c>
      <c r="B303" s="15"/>
      <c r="C303" s="120" t="s">
        <v>19</v>
      </c>
      <c r="D303" s="25"/>
      <c r="E303" s="46">
        <v>5000</v>
      </c>
      <c r="F303" s="152">
        <v>8450</v>
      </c>
      <c r="G303" s="152">
        <v>8450</v>
      </c>
      <c r="H303" s="152">
        <v>8600</v>
      </c>
      <c r="I303" s="203">
        <f t="shared" si="12"/>
        <v>1.017751479289941</v>
      </c>
      <c r="J303" s="203">
        <f t="shared" si="13"/>
        <v>0.00018707626681739502</v>
      </c>
    </row>
    <row r="304" spans="1:10" ht="12.75">
      <c r="A304" s="158">
        <f t="shared" si="14"/>
        <v>238</v>
      </c>
      <c r="B304" s="15"/>
      <c r="C304" s="120" t="s">
        <v>73</v>
      </c>
      <c r="D304" s="25"/>
      <c r="E304" s="46">
        <v>6500</v>
      </c>
      <c r="F304" s="152">
        <v>5100</v>
      </c>
      <c r="G304" s="152">
        <v>5100</v>
      </c>
      <c r="H304" s="152">
        <v>5200</v>
      </c>
      <c r="I304" s="203">
        <f t="shared" si="12"/>
        <v>1.0196078431372548</v>
      </c>
      <c r="J304" s="203">
        <f t="shared" si="13"/>
        <v>0.00011311588226168072</v>
      </c>
    </row>
    <row r="305" spans="1:10" ht="12.75">
      <c r="A305" s="158">
        <f t="shared" si="14"/>
        <v>239</v>
      </c>
      <c r="B305" s="15"/>
      <c r="C305" s="120" t="s">
        <v>171</v>
      </c>
      <c r="D305" s="25"/>
      <c r="E305" s="46">
        <v>0</v>
      </c>
      <c r="F305" s="152">
        <v>33250</v>
      </c>
      <c r="G305" s="152">
        <v>33250</v>
      </c>
      <c r="H305" s="152">
        <v>60000</v>
      </c>
      <c r="I305" s="203">
        <f t="shared" si="12"/>
        <v>1.8045112781954886</v>
      </c>
      <c r="J305" s="203">
        <f t="shared" si="13"/>
        <v>0.0013051832568655468</v>
      </c>
    </row>
    <row r="306" spans="1:10" ht="12.75">
      <c r="A306" s="158">
        <f t="shared" si="14"/>
        <v>240</v>
      </c>
      <c r="B306" s="15"/>
      <c r="C306" s="120" t="s">
        <v>219</v>
      </c>
      <c r="D306" s="25"/>
      <c r="E306" s="46"/>
      <c r="F306" s="152">
        <v>2000</v>
      </c>
      <c r="G306" s="152">
        <v>2000</v>
      </c>
      <c r="H306" s="152">
        <v>2000</v>
      </c>
      <c r="I306" s="203">
        <f t="shared" si="12"/>
        <v>1</v>
      </c>
      <c r="J306" s="203">
        <f t="shared" si="13"/>
        <v>4.350610856218489E-05</v>
      </c>
    </row>
    <row r="307" spans="1:10" ht="12.75">
      <c r="A307" s="158">
        <f t="shared" si="14"/>
        <v>241</v>
      </c>
      <c r="B307" s="15"/>
      <c r="C307" s="120" t="s">
        <v>204</v>
      </c>
      <c r="D307" s="25"/>
      <c r="E307" s="46"/>
      <c r="F307" s="152">
        <v>8760</v>
      </c>
      <c r="G307" s="152">
        <v>8760</v>
      </c>
      <c r="H307" s="152">
        <v>8760</v>
      </c>
      <c r="I307" s="203">
        <f t="shared" si="12"/>
        <v>1</v>
      </c>
      <c r="J307" s="203">
        <f t="shared" si="13"/>
        <v>0.00019055675550236982</v>
      </c>
    </row>
    <row r="308" spans="1:10" ht="12.75">
      <c r="A308" s="158">
        <f t="shared" si="14"/>
        <v>242</v>
      </c>
      <c r="B308" s="15">
        <v>4260</v>
      </c>
      <c r="C308" s="120" t="s">
        <v>138</v>
      </c>
      <c r="D308" s="25"/>
      <c r="E308" s="51">
        <f>SUM(E310:E311)</f>
        <v>13000</v>
      </c>
      <c r="F308" s="149">
        <f>SUM(F310:F312)</f>
        <v>14430</v>
      </c>
      <c r="G308" s="149">
        <f>SUM(G310:G312)</f>
        <v>14430</v>
      </c>
      <c r="H308" s="149">
        <f>SUM(H310:H312)</f>
        <v>14730</v>
      </c>
      <c r="I308" s="203">
        <f t="shared" si="12"/>
        <v>1.0207900207900207</v>
      </c>
      <c r="J308" s="203">
        <f t="shared" si="13"/>
        <v>0.0003204224895604917</v>
      </c>
    </row>
    <row r="309" spans="1:10" ht="12.75">
      <c r="A309" s="158">
        <f t="shared" si="14"/>
        <v>243</v>
      </c>
      <c r="B309" s="15"/>
      <c r="C309" s="120" t="s">
        <v>15</v>
      </c>
      <c r="D309" s="25"/>
      <c r="E309" s="46"/>
      <c r="F309" s="138"/>
      <c r="G309" s="138"/>
      <c r="H309" s="138"/>
      <c r="I309" s="203"/>
      <c r="J309" s="203"/>
    </row>
    <row r="310" spans="1:10" ht="12.75">
      <c r="A310" s="158">
        <f t="shared" si="14"/>
        <v>244</v>
      </c>
      <c r="B310" s="15"/>
      <c r="C310" s="120" t="s">
        <v>30</v>
      </c>
      <c r="D310" s="25"/>
      <c r="E310" s="46">
        <v>8000</v>
      </c>
      <c r="F310" s="138">
        <v>10000</v>
      </c>
      <c r="G310" s="138">
        <v>10000</v>
      </c>
      <c r="H310" s="138">
        <v>10230</v>
      </c>
      <c r="I310" s="203">
        <f t="shared" si="12"/>
        <v>1.023</v>
      </c>
      <c r="J310" s="203">
        <f t="shared" si="13"/>
        <v>0.0002225337452955757</v>
      </c>
    </row>
    <row r="311" spans="1:10" ht="12.75">
      <c r="A311" s="158">
        <f t="shared" si="14"/>
        <v>245</v>
      </c>
      <c r="B311" s="15"/>
      <c r="C311" s="120" t="s">
        <v>74</v>
      </c>
      <c r="D311" s="25"/>
      <c r="E311" s="46">
        <v>5000</v>
      </c>
      <c r="F311" s="138">
        <v>3430</v>
      </c>
      <c r="G311" s="138">
        <v>3430</v>
      </c>
      <c r="H311" s="138">
        <v>3500</v>
      </c>
      <c r="I311" s="203">
        <f t="shared" si="12"/>
        <v>1.0204081632653061</v>
      </c>
      <c r="J311" s="203">
        <f t="shared" si="13"/>
        <v>7.613568998382356E-05</v>
      </c>
    </row>
    <row r="312" spans="1:10" ht="12.75">
      <c r="A312" s="158">
        <f t="shared" si="14"/>
        <v>246</v>
      </c>
      <c r="B312" s="15"/>
      <c r="C312" s="120" t="s">
        <v>302</v>
      </c>
      <c r="D312" s="25"/>
      <c r="E312" s="46"/>
      <c r="F312" s="138">
        <v>1000</v>
      </c>
      <c r="G312" s="138">
        <v>1000</v>
      </c>
      <c r="H312" s="138">
        <v>1000</v>
      </c>
      <c r="I312" s="203">
        <f t="shared" si="12"/>
        <v>1</v>
      </c>
      <c r="J312" s="203">
        <f t="shared" si="13"/>
        <v>2.1753054281092445E-05</v>
      </c>
    </row>
    <row r="313" spans="1:10" ht="12.75">
      <c r="A313" s="158">
        <f t="shared" si="14"/>
        <v>247</v>
      </c>
      <c r="B313" s="15">
        <v>4270</v>
      </c>
      <c r="C313" s="120" t="s">
        <v>330</v>
      </c>
      <c r="D313" s="25"/>
      <c r="E313" s="46"/>
      <c r="F313" s="138">
        <f>SUM(F315:F318)</f>
        <v>44390</v>
      </c>
      <c r="G313" s="138">
        <f>SUM(G315:G318)</f>
        <v>44390</v>
      </c>
      <c r="H313" s="138">
        <f>SUM(H315:H318)</f>
        <v>20350</v>
      </c>
      <c r="I313" s="203">
        <f t="shared" si="12"/>
        <v>0.4584365848164001</v>
      </c>
      <c r="J313" s="203">
        <f t="shared" si="13"/>
        <v>0.0004426746546202313</v>
      </c>
    </row>
    <row r="314" spans="1:10" ht="12.75">
      <c r="A314" s="158">
        <f t="shared" si="14"/>
        <v>248</v>
      </c>
      <c r="B314" s="15"/>
      <c r="C314" s="120" t="s">
        <v>15</v>
      </c>
      <c r="D314" s="25"/>
      <c r="E314" s="46"/>
      <c r="F314" s="138"/>
      <c r="G314" s="138"/>
      <c r="H314" s="138"/>
      <c r="I314" s="203"/>
      <c r="J314" s="203"/>
    </row>
    <row r="315" spans="1:10" ht="12.75">
      <c r="A315" s="158">
        <f t="shared" si="14"/>
        <v>249</v>
      </c>
      <c r="B315" s="15"/>
      <c r="C315" s="120" t="s">
        <v>433</v>
      </c>
      <c r="D315" s="25"/>
      <c r="E315" s="46"/>
      <c r="F315" s="138">
        <f>10150-1260</f>
        <v>8890</v>
      </c>
      <c r="G315" s="138">
        <v>8890</v>
      </c>
      <c r="H315" s="138">
        <v>10150</v>
      </c>
      <c r="I315" s="203">
        <f t="shared" si="12"/>
        <v>1.141732283464567</v>
      </c>
      <c r="J315" s="203">
        <f t="shared" si="13"/>
        <v>0.0002207935009530883</v>
      </c>
    </row>
    <row r="316" spans="1:10" ht="12.75">
      <c r="A316" s="158">
        <f t="shared" si="14"/>
        <v>250</v>
      </c>
      <c r="B316" s="15"/>
      <c r="C316" s="120" t="s">
        <v>434</v>
      </c>
      <c r="D316" s="25"/>
      <c r="E316" s="46"/>
      <c r="F316" s="138">
        <v>5200</v>
      </c>
      <c r="G316" s="138">
        <v>5200</v>
      </c>
      <c r="H316" s="138">
        <v>5300</v>
      </c>
      <c r="I316" s="203">
        <f t="shared" si="12"/>
        <v>1.0192307692307692</v>
      </c>
      <c r="J316" s="203">
        <f t="shared" si="13"/>
        <v>0.00011529118768978996</v>
      </c>
    </row>
    <row r="317" spans="1:10" ht="12.75">
      <c r="A317" s="158">
        <f t="shared" si="14"/>
        <v>251</v>
      </c>
      <c r="B317" s="15"/>
      <c r="C317" s="120" t="s">
        <v>79</v>
      </c>
      <c r="D317" s="25"/>
      <c r="E317" s="46"/>
      <c r="F317" s="138">
        <v>4800</v>
      </c>
      <c r="G317" s="138">
        <v>4800</v>
      </c>
      <c r="H317" s="138">
        <v>4900</v>
      </c>
      <c r="I317" s="203">
        <f t="shared" si="12"/>
        <v>1.0208333333333333</v>
      </c>
      <c r="J317" s="203">
        <f>H317/$H$1363</f>
        <v>0.00010658996597735298</v>
      </c>
    </row>
    <row r="318" spans="1:10" ht="12.75">
      <c r="A318" s="158">
        <f t="shared" si="14"/>
        <v>252</v>
      </c>
      <c r="B318" s="15"/>
      <c r="C318" s="120" t="s">
        <v>435</v>
      </c>
      <c r="D318" s="25"/>
      <c r="E318" s="46"/>
      <c r="F318" s="138">
        <v>25500</v>
      </c>
      <c r="G318" s="138">
        <v>25500</v>
      </c>
      <c r="H318" s="138">
        <v>0</v>
      </c>
      <c r="I318" s="203">
        <f t="shared" si="12"/>
        <v>0</v>
      </c>
      <c r="J318" s="203">
        <f>H318/$H$1363</f>
        <v>0</v>
      </c>
    </row>
    <row r="319" spans="1:10" ht="12.75">
      <c r="A319" s="158">
        <f t="shared" si="14"/>
        <v>253</v>
      </c>
      <c r="B319" s="15">
        <v>4280</v>
      </c>
      <c r="C319" s="120" t="s">
        <v>286</v>
      </c>
      <c r="D319" s="25"/>
      <c r="E319" s="46"/>
      <c r="F319" s="138">
        <v>3000</v>
      </c>
      <c r="G319" s="138">
        <v>3000</v>
      </c>
      <c r="H319" s="138">
        <v>2000</v>
      </c>
      <c r="I319" s="203">
        <f t="shared" si="12"/>
        <v>0.6666666666666666</v>
      </c>
      <c r="J319" s="203">
        <f>H319/$H$1363</f>
        <v>4.350610856218489E-05</v>
      </c>
    </row>
    <row r="320" spans="1:10" ht="12.75">
      <c r="A320" s="158">
        <f t="shared" si="14"/>
        <v>254</v>
      </c>
      <c r="B320" s="15">
        <v>4300</v>
      </c>
      <c r="C320" s="120" t="s">
        <v>134</v>
      </c>
      <c r="D320" s="25"/>
      <c r="E320" s="51">
        <f>SUM(E322:E356)</f>
        <v>259800</v>
      </c>
      <c r="F320" s="149">
        <f>SUM(F322:F356)</f>
        <v>1274670</v>
      </c>
      <c r="G320" s="149">
        <f>SUM(G322:G356)</f>
        <v>1224670</v>
      </c>
      <c r="H320" s="149">
        <f>SUM(H322:H356)</f>
        <v>921800</v>
      </c>
      <c r="I320" s="203">
        <f t="shared" si="12"/>
        <v>0.7526925620779475</v>
      </c>
      <c r="J320" s="203">
        <f>H320/$H$1363</f>
        <v>0.020051965436311017</v>
      </c>
    </row>
    <row r="321" spans="1:10" ht="12.75">
      <c r="A321" s="158">
        <f t="shared" si="14"/>
        <v>255</v>
      </c>
      <c r="B321" s="15"/>
      <c r="C321" s="120" t="s">
        <v>15</v>
      </c>
      <c r="D321" s="25"/>
      <c r="E321" s="46"/>
      <c r="F321" s="138"/>
      <c r="G321" s="138"/>
      <c r="H321" s="138"/>
      <c r="I321" s="203"/>
      <c r="J321" s="203"/>
    </row>
    <row r="322" spans="1:10" ht="12.75">
      <c r="A322" s="158">
        <f t="shared" si="14"/>
        <v>256</v>
      </c>
      <c r="B322" s="15"/>
      <c r="C322" s="120" t="s">
        <v>56</v>
      </c>
      <c r="D322" s="25"/>
      <c r="E322" s="46">
        <v>65000</v>
      </c>
      <c r="F322" s="138">
        <v>97000</v>
      </c>
      <c r="G322" s="138">
        <v>97000</v>
      </c>
      <c r="H322" s="138">
        <v>99000</v>
      </c>
      <c r="I322" s="203">
        <f t="shared" si="12"/>
        <v>1.0206185567010309</v>
      </c>
      <c r="J322" s="203">
        <f>H322/$H$1363</f>
        <v>0.002153552373828152</v>
      </c>
    </row>
    <row r="323" spans="1:10" ht="12.75">
      <c r="A323" s="158">
        <f t="shared" si="14"/>
        <v>257</v>
      </c>
      <c r="B323" s="15"/>
      <c r="C323" s="120" t="s">
        <v>171</v>
      </c>
      <c r="D323" s="25"/>
      <c r="E323" s="46">
        <f>12000+3000+20000+30000+4500+25000+5000+10000</f>
        <v>109500</v>
      </c>
      <c r="F323" s="138"/>
      <c r="G323" s="138"/>
      <c r="H323" s="138"/>
      <c r="I323" s="203"/>
      <c r="J323" s="203"/>
    </row>
    <row r="324" spans="1:10" ht="12.75">
      <c r="A324" s="158">
        <f t="shared" si="14"/>
        <v>258</v>
      </c>
      <c r="B324" s="15"/>
      <c r="C324" s="123" t="s">
        <v>380</v>
      </c>
      <c r="D324" s="25"/>
      <c r="E324" s="46"/>
      <c r="F324" s="138"/>
      <c r="G324" s="138"/>
      <c r="H324" s="138"/>
      <c r="I324" s="203"/>
      <c r="J324" s="203"/>
    </row>
    <row r="325" spans="1:10" ht="12.75">
      <c r="A325" s="158">
        <f t="shared" si="14"/>
        <v>259</v>
      </c>
      <c r="B325" s="15"/>
      <c r="C325" s="123" t="s">
        <v>369</v>
      </c>
      <c r="D325" s="25"/>
      <c r="E325" s="46"/>
      <c r="F325" s="138"/>
      <c r="G325" s="138"/>
      <c r="H325" s="138"/>
      <c r="I325" s="203"/>
      <c r="J325" s="203"/>
    </row>
    <row r="326" spans="1:10" ht="12.75">
      <c r="A326" s="158">
        <f t="shared" si="14"/>
        <v>260</v>
      </c>
      <c r="B326" s="15"/>
      <c r="C326" s="123" t="s">
        <v>370</v>
      </c>
      <c r="D326" s="25"/>
      <c r="E326" s="46"/>
      <c r="F326" s="138"/>
      <c r="G326" s="138"/>
      <c r="H326" s="138"/>
      <c r="I326" s="203"/>
      <c r="J326" s="203"/>
    </row>
    <row r="327" spans="1:10" ht="12.75">
      <c r="A327" s="158">
        <f t="shared" si="14"/>
        <v>261</v>
      </c>
      <c r="B327" s="15"/>
      <c r="C327" s="123" t="s">
        <v>371</v>
      </c>
      <c r="D327" s="25"/>
      <c r="E327" s="46"/>
      <c r="F327" s="138"/>
      <c r="G327" s="138"/>
      <c r="H327" s="138"/>
      <c r="I327" s="203"/>
      <c r="J327" s="203"/>
    </row>
    <row r="328" spans="1:10" ht="12.75">
      <c r="A328" s="158">
        <f t="shared" si="14"/>
        <v>262</v>
      </c>
      <c r="B328" s="15"/>
      <c r="C328" s="123" t="s">
        <v>372</v>
      </c>
      <c r="D328" s="25"/>
      <c r="E328" s="46"/>
      <c r="F328" s="138"/>
      <c r="G328" s="138"/>
      <c r="H328" s="138"/>
      <c r="I328" s="203"/>
      <c r="J328" s="203"/>
    </row>
    <row r="329" spans="1:10" ht="12.75">
      <c r="A329" s="158">
        <f t="shared" si="14"/>
        <v>263</v>
      </c>
      <c r="B329" s="15"/>
      <c r="C329" s="123" t="s">
        <v>373</v>
      </c>
      <c r="D329" s="25"/>
      <c r="E329" s="46"/>
      <c r="F329" s="138"/>
      <c r="G329" s="138"/>
      <c r="H329" s="138"/>
      <c r="I329" s="203"/>
      <c r="J329" s="203"/>
    </row>
    <row r="330" spans="1:10" ht="12.75">
      <c r="A330" s="158">
        <f t="shared" si="14"/>
        <v>264</v>
      </c>
      <c r="B330" s="15"/>
      <c r="C330" s="123" t="s">
        <v>374</v>
      </c>
      <c r="D330" s="25"/>
      <c r="E330" s="46"/>
      <c r="F330" s="138"/>
      <c r="G330" s="138"/>
      <c r="H330" s="138"/>
      <c r="I330" s="203"/>
      <c r="J330" s="203"/>
    </row>
    <row r="331" spans="1:10" ht="12.75">
      <c r="A331" s="158">
        <f t="shared" si="14"/>
        <v>265</v>
      </c>
      <c r="B331" s="15"/>
      <c r="C331" s="123" t="s">
        <v>375</v>
      </c>
      <c r="D331" s="25"/>
      <c r="E331" s="46"/>
      <c r="F331" s="138"/>
      <c r="G331" s="138"/>
      <c r="H331" s="138"/>
      <c r="I331" s="203"/>
      <c r="J331" s="203"/>
    </row>
    <row r="332" spans="1:10" ht="12.75">
      <c r="A332" s="158">
        <f t="shared" si="14"/>
        <v>266</v>
      </c>
      <c r="B332" s="15"/>
      <c r="C332" s="123" t="s">
        <v>376</v>
      </c>
      <c r="D332" s="25"/>
      <c r="E332" s="46"/>
      <c r="F332" s="138"/>
      <c r="G332" s="138"/>
      <c r="H332" s="138"/>
      <c r="I332" s="203"/>
      <c r="J332" s="203"/>
    </row>
    <row r="333" spans="1:10" ht="12.75">
      <c r="A333" s="158">
        <f t="shared" si="14"/>
        <v>267</v>
      </c>
      <c r="B333" s="15"/>
      <c r="C333" s="123" t="s">
        <v>377</v>
      </c>
      <c r="D333" s="25"/>
      <c r="E333" s="46"/>
      <c r="F333" s="138"/>
      <c r="G333" s="138"/>
      <c r="H333" s="138"/>
      <c r="I333" s="203"/>
      <c r="J333" s="203"/>
    </row>
    <row r="334" spans="1:10" ht="12.75">
      <c r="A334" s="158">
        <f t="shared" si="14"/>
        <v>268</v>
      </c>
      <c r="B334" s="15"/>
      <c r="C334" s="123" t="s">
        <v>436</v>
      </c>
      <c r="D334" s="25"/>
      <c r="E334" s="46"/>
      <c r="F334" s="138"/>
      <c r="G334" s="138"/>
      <c r="H334" s="138"/>
      <c r="I334" s="203"/>
      <c r="J334" s="203"/>
    </row>
    <row r="335" spans="1:10" ht="12.75">
      <c r="A335" s="158">
        <f t="shared" si="14"/>
        <v>269</v>
      </c>
      <c r="B335" s="15"/>
      <c r="C335" s="123" t="s">
        <v>378</v>
      </c>
      <c r="D335" s="25"/>
      <c r="E335" s="46"/>
      <c r="F335" s="138"/>
      <c r="G335" s="138"/>
      <c r="H335" s="138"/>
      <c r="I335" s="203"/>
      <c r="J335" s="203"/>
    </row>
    <row r="336" spans="1:10" ht="12.75">
      <c r="A336" s="158">
        <f t="shared" si="14"/>
        <v>270</v>
      </c>
      <c r="B336" s="15"/>
      <c r="C336" s="123" t="s">
        <v>379</v>
      </c>
      <c r="D336" s="25"/>
      <c r="E336" s="46"/>
      <c r="F336" s="138"/>
      <c r="G336" s="138"/>
      <c r="H336" s="138"/>
      <c r="I336" s="203"/>
      <c r="J336" s="203"/>
    </row>
    <row r="337" spans="1:10" ht="12.75">
      <c r="A337" s="158">
        <f t="shared" si="14"/>
        <v>271</v>
      </c>
      <c r="B337" s="15"/>
      <c r="C337" s="123" t="s">
        <v>381</v>
      </c>
      <c r="D337" s="25"/>
      <c r="E337" s="46"/>
      <c r="F337" s="138"/>
      <c r="G337" s="138"/>
      <c r="H337" s="138"/>
      <c r="I337" s="203"/>
      <c r="J337" s="203"/>
    </row>
    <row r="338" spans="1:10" ht="12.75">
      <c r="A338" s="158">
        <f t="shared" si="14"/>
        <v>272</v>
      </c>
      <c r="B338" s="15"/>
      <c r="C338" s="123" t="s">
        <v>660</v>
      </c>
      <c r="D338" s="25"/>
      <c r="E338" s="46"/>
      <c r="F338" s="138"/>
      <c r="G338" s="138"/>
      <c r="H338" s="138"/>
      <c r="I338" s="203"/>
      <c r="J338" s="203"/>
    </row>
    <row r="339" spans="1:10" ht="12.75">
      <c r="A339" s="158">
        <f t="shared" si="14"/>
        <v>273</v>
      </c>
      <c r="B339" s="15"/>
      <c r="C339" s="123" t="s">
        <v>661</v>
      </c>
      <c r="D339" s="25"/>
      <c r="E339" s="46"/>
      <c r="F339" s="138"/>
      <c r="G339" s="138"/>
      <c r="H339" s="138"/>
      <c r="I339" s="203"/>
      <c r="J339" s="203"/>
    </row>
    <row r="340" spans="1:10" ht="12.75">
      <c r="A340" s="158">
        <f t="shared" si="14"/>
        <v>274</v>
      </c>
      <c r="B340" s="15"/>
      <c r="C340" s="123" t="s">
        <v>662</v>
      </c>
      <c r="D340" s="25"/>
      <c r="E340" s="46"/>
      <c r="F340" s="138"/>
      <c r="G340" s="138"/>
      <c r="H340" s="138"/>
      <c r="I340" s="203"/>
      <c r="J340" s="203"/>
    </row>
    <row r="341" spans="1:10" ht="12.75">
      <c r="A341" s="158">
        <f t="shared" si="14"/>
        <v>275</v>
      </c>
      <c r="B341" s="15"/>
      <c r="C341" s="123" t="s">
        <v>663</v>
      </c>
      <c r="D341" s="25"/>
      <c r="E341" s="46"/>
      <c r="F341" s="138"/>
      <c r="G341" s="138"/>
      <c r="H341" s="138"/>
      <c r="I341" s="203"/>
      <c r="J341" s="203"/>
    </row>
    <row r="342" spans="1:10" ht="12.75">
      <c r="A342" s="158">
        <f t="shared" si="14"/>
        <v>276</v>
      </c>
      <c r="B342" s="15"/>
      <c r="C342" s="123" t="s">
        <v>664</v>
      </c>
      <c r="D342" s="25"/>
      <c r="E342" s="46"/>
      <c r="F342" s="138"/>
      <c r="G342" s="138"/>
      <c r="H342" s="138"/>
      <c r="I342" s="203"/>
      <c r="J342" s="203"/>
    </row>
    <row r="343" spans="1:10" ht="12.75">
      <c r="A343" s="158">
        <f t="shared" si="14"/>
        <v>277</v>
      </c>
      <c r="B343" s="15"/>
      <c r="C343" s="123" t="s">
        <v>665</v>
      </c>
      <c r="D343" s="25"/>
      <c r="E343" s="46"/>
      <c r="F343" s="138">
        <v>917000</v>
      </c>
      <c r="G343" s="138">
        <v>917000</v>
      </c>
      <c r="H343" s="138">
        <v>605000</v>
      </c>
      <c r="I343" s="203">
        <f aca="true" t="shared" si="15" ref="I343:I389">H343/G343</f>
        <v>0.6597600872410033</v>
      </c>
      <c r="J343" s="203">
        <f>H343/$H$1363</f>
        <v>0.01316059784006093</v>
      </c>
    </row>
    <row r="344" spans="1:10" s="187" customFormat="1" ht="12.75">
      <c r="A344" s="158">
        <f>A343+1</f>
        <v>278</v>
      </c>
      <c r="B344" s="183"/>
      <c r="C344" s="212" t="s">
        <v>508</v>
      </c>
      <c r="D344" s="184"/>
      <c r="E344" s="185"/>
      <c r="F344" s="186"/>
      <c r="G344" s="186"/>
      <c r="H344" s="186"/>
      <c r="I344" s="203"/>
      <c r="J344" s="203"/>
    </row>
    <row r="345" spans="1:10" s="187" customFormat="1" ht="12.75">
      <c r="A345" s="158">
        <f t="shared" si="14"/>
        <v>279</v>
      </c>
      <c r="B345" s="188"/>
      <c r="C345" s="212" t="s">
        <v>382</v>
      </c>
      <c r="D345" s="184"/>
      <c r="E345" s="185"/>
      <c r="F345" s="186"/>
      <c r="G345" s="186"/>
      <c r="H345" s="186"/>
      <c r="I345" s="203"/>
      <c r="J345" s="203"/>
    </row>
    <row r="346" spans="1:10" s="187" customFormat="1" ht="12.75">
      <c r="A346" s="158">
        <f t="shared" si="14"/>
        <v>280</v>
      </c>
      <c r="B346" s="188"/>
      <c r="C346" s="212" t="s">
        <v>383</v>
      </c>
      <c r="D346" s="184"/>
      <c r="E346" s="185"/>
      <c r="F346" s="186">
        <v>28060</v>
      </c>
      <c r="G346" s="186">
        <v>28060</v>
      </c>
      <c r="H346" s="186">
        <v>0</v>
      </c>
      <c r="I346" s="203">
        <f t="shared" si="15"/>
        <v>0</v>
      </c>
      <c r="J346" s="203">
        <f aca="true" t="shared" si="16" ref="J346:J357">H346/$H$1363</f>
        <v>0</v>
      </c>
    </row>
    <row r="347" spans="1:10" ht="12.75">
      <c r="A347" s="158">
        <f t="shared" si="14"/>
        <v>281</v>
      </c>
      <c r="B347" s="15"/>
      <c r="C347" s="120" t="s">
        <v>72</v>
      </c>
      <c r="D347" s="25"/>
      <c r="E347" s="46">
        <v>3600</v>
      </c>
      <c r="F347" s="138">
        <v>1100</v>
      </c>
      <c r="G347" s="138">
        <v>1100</v>
      </c>
      <c r="H347" s="138">
        <v>1100</v>
      </c>
      <c r="I347" s="203">
        <f t="shared" si="15"/>
        <v>1</v>
      </c>
      <c r="J347" s="203">
        <f t="shared" si="16"/>
        <v>2.392835970920169E-05</v>
      </c>
    </row>
    <row r="348" spans="1:10" ht="12.75">
      <c r="A348" s="158">
        <f t="shared" si="14"/>
        <v>282</v>
      </c>
      <c r="B348" s="15"/>
      <c r="C348" s="120" t="s">
        <v>205</v>
      </c>
      <c r="D348" s="25"/>
      <c r="E348" s="46"/>
      <c r="F348" s="138">
        <v>700</v>
      </c>
      <c r="G348" s="138">
        <v>700</v>
      </c>
      <c r="H348" s="138">
        <v>700</v>
      </c>
      <c r="I348" s="203">
        <f>H348/G348</f>
        <v>1</v>
      </c>
      <c r="J348" s="203">
        <f t="shared" si="16"/>
        <v>1.5227137996764711E-05</v>
      </c>
    </row>
    <row r="349" spans="1:10" ht="12.75">
      <c r="A349" s="158">
        <f t="shared" si="14"/>
        <v>283</v>
      </c>
      <c r="B349" s="15"/>
      <c r="C349" s="123" t="s">
        <v>344</v>
      </c>
      <c r="D349" s="25"/>
      <c r="E349" s="46"/>
      <c r="F349" s="138">
        <v>50000</v>
      </c>
      <c r="G349" s="138">
        <v>0</v>
      </c>
      <c r="H349" s="138">
        <v>0</v>
      </c>
      <c r="I349" s="203"/>
      <c r="J349" s="203">
        <f t="shared" si="16"/>
        <v>0</v>
      </c>
    </row>
    <row r="350" spans="1:10" ht="12.75">
      <c r="A350" s="158">
        <f aca="true" t="shared" si="17" ref="A350:A412">A349+1</f>
        <v>284</v>
      </c>
      <c r="B350" s="15"/>
      <c r="C350" s="120" t="s">
        <v>19</v>
      </c>
      <c r="D350" s="25"/>
      <c r="E350" s="46">
        <v>40000</v>
      </c>
      <c r="F350" s="138">
        <f>14500+1260</f>
        <v>15760</v>
      </c>
      <c r="G350" s="138">
        <v>15760</v>
      </c>
      <c r="H350" s="138">
        <v>25000</v>
      </c>
      <c r="I350" s="203">
        <f t="shared" si="15"/>
        <v>1.5862944162436547</v>
      </c>
      <c r="J350" s="203">
        <f t="shared" si="16"/>
        <v>0.0005438263570273111</v>
      </c>
    </row>
    <row r="351" spans="1:10" ht="12.75">
      <c r="A351" s="158">
        <f t="shared" si="17"/>
        <v>285</v>
      </c>
      <c r="B351" s="15"/>
      <c r="C351" s="120" t="s">
        <v>75</v>
      </c>
      <c r="D351" s="25"/>
      <c r="E351" s="46">
        <v>1500</v>
      </c>
      <c r="F351" s="138">
        <v>600</v>
      </c>
      <c r="G351" s="138">
        <v>600</v>
      </c>
      <c r="H351" s="138">
        <v>600</v>
      </c>
      <c r="I351" s="203">
        <f t="shared" si="15"/>
        <v>1</v>
      </c>
      <c r="J351" s="203">
        <f t="shared" si="16"/>
        <v>1.3051832568655468E-05</v>
      </c>
    </row>
    <row r="352" spans="1:10" ht="12.75">
      <c r="A352" s="158">
        <f t="shared" si="17"/>
        <v>286</v>
      </c>
      <c r="B352" s="15"/>
      <c r="C352" s="120" t="s">
        <v>76</v>
      </c>
      <c r="D352" s="25"/>
      <c r="E352" s="46">
        <v>6200</v>
      </c>
      <c r="F352" s="138">
        <v>8500</v>
      </c>
      <c r="G352" s="138">
        <v>8500</v>
      </c>
      <c r="H352" s="138">
        <v>10000</v>
      </c>
      <c r="I352" s="203">
        <f t="shared" si="15"/>
        <v>1.1764705882352942</v>
      </c>
      <c r="J352" s="203">
        <f t="shared" si="16"/>
        <v>0.00021753054281092445</v>
      </c>
    </row>
    <row r="353" spans="1:10" ht="12.75">
      <c r="A353" s="158">
        <f t="shared" si="17"/>
        <v>287</v>
      </c>
      <c r="B353" s="15"/>
      <c r="C353" s="120" t="s">
        <v>77</v>
      </c>
      <c r="D353" s="25"/>
      <c r="E353" s="46">
        <v>16000</v>
      </c>
      <c r="F353" s="138">
        <v>16000</v>
      </c>
      <c r="G353" s="138">
        <v>16000</v>
      </c>
      <c r="H353" s="138">
        <v>16360</v>
      </c>
      <c r="I353" s="203">
        <f t="shared" si="15"/>
        <v>1.0225</v>
      </c>
      <c r="J353" s="203">
        <f t="shared" si="16"/>
        <v>0.0003558799680386724</v>
      </c>
    </row>
    <row r="354" spans="1:10" ht="12.75">
      <c r="A354" s="158">
        <f t="shared" si="17"/>
        <v>288</v>
      </c>
      <c r="B354" s="15"/>
      <c r="C354" s="120" t="s">
        <v>78</v>
      </c>
      <c r="D354" s="25"/>
      <c r="E354" s="46">
        <v>7000</v>
      </c>
      <c r="F354" s="138">
        <v>6100</v>
      </c>
      <c r="G354" s="138">
        <v>6100</v>
      </c>
      <c r="H354" s="138">
        <v>6240</v>
      </c>
      <c r="I354" s="203">
        <f t="shared" si="15"/>
        <v>1.022950819672131</v>
      </c>
      <c r="J354" s="203">
        <f t="shared" si="16"/>
        <v>0.00013573905871401687</v>
      </c>
    </row>
    <row r="355" spans="1:10" ht="12.75">
      <c r="A355" s="158">
        <f t="shared" si="17"/>
        <v>289</v>
      </c>
      <c r="B355" s="15"/>
      <c r="C355" s="120" t="s">
        <v>154</v>
      </c>
      <c r="D355" s="25"/>
      <c r="E355" s="46">
        <v>1000</v>
      </c>
      <c r="F355" s="138">
        <f>122200+3050</f>
        <v>125250</v>
      </c>
      <c r="G355" s="138">
        <v>125250</v>
      </c>
      <c r="H355" s="138">
        <f>144000+4800</f>
        <v>148800</v>
      </c>
      <c r="I355" s="203">
        <f t="shared" si="15"/>
        <v>1.1880239520958085</v>
      </c>
      <c r="J355" s="203">
        <f t="shared" si="16"/>
        <v>0.003236854477026556</v>
      </c>
    </row>
    <row r="356" spans="1:10" ht="12.75">
      <c r="A356" s="158">
        <f t="shared" si="17"/>
        <v>290</v>
      </c>
      <c r="B356" s="15"/>
      <c r="C356" s="120" t="s">
        <v>71</v>
      </c>
      <c r="D356" s="25"/>
      <c r="E356" s="46">
        <v>10000</v>
      </c>
      <c r="F356" s="138">
        <v>8600</v>
      </c>
      <c r="G356" s="138">
        <v>8600</v>
      </c>
      <c r="H356" s="138">
        <v>9000</v>
      </c>
      <c r="I356" s="203">
        <f t="shared" si="15"/>
        <v>1.0465116279069768</v>
      </c>
      <c r="J356" s="203">
        <f t="shared" si="16"/>
        <v>0.00019577748852983202</v>
      </c>
    </row>
    <row r="357" spans="1:10" ht="12.75">
      <c r="A357" s="158">
        <f t="shared" si="17"/>
        <v>291</v>
      </c>
      <c r="B357" s="15">
        <v>4350</v>
      </c>
      <c r="C357" s="120" t="s">
        <v>331</v>
      </c>
      <c r="D357" s="25"/>
      <c r="E357" s="46"/>
      <c r="F357" s="138">
        <v>4470</v>
      </c>
      <c r="G357" s="138">
        <v>4470</v>
      </c>
      <c r="H357" s="138">
        <v>4170</v>
      </c>
      <c r="I357" s="203">
        <f t="shared" si="15"/>
        <v>0.9328859060402684</v>
      </c>
      <c r="J357" s="203">
        <f t="shared" si="16"/>
        <v>9.07102363521555E-05</v>
      </c>
    </row>
    <row r="358" spans="1:10" ht="12.75">
      <c r="A358" s="158">
        <f t="shared" si="17"/>
        <v>292</v>
      </c>
      <c r="B358" s="15">
        <v>4360</v>
      </c>
      <c r="C358" s="120" t="s">
        <v>320</v>
      </c>
      <c r="D358" s="25"/>
      <c r="E358" s="46"/>
      <c r="F358" s="138"/>
      <c r="G358" s="138"/>
      <c r="H358" s="138"/>
      <c r="I358" s="203"/>
      <c r="J358" s="203"/>
    </row>
    <row r="359" spans="1:10" ht="12.75">
      <c r="A359" s="158">
        <f t="shared" si="17"/>
        <v>293</v>
      </c>
      <c r="B359" s="15"/>
      <c r="C359" s="120" t="s">
        <v>303</v>
      </c>
      <c r="D359" s="25"/>
      <c r="E359" s="46"/>
      <c r="F359" s="138">
        <v>18000</v>
      </c>
      <c r="G359" s="138">
        <v>18000</v>
      </c>
      <c r="H359" s="138">
        <v>18000</v>
      </c>
      <c r="I359" s="203">
        <f t="shared" si="15"/>
        <v>1</v>
      </c>
      <c r="J359" s="203">
        <f>H359/$H$1363</f>
        <v>0.00039155497705966404</v>
      </c>
    </row>
    <row r="360" spans="1:10" ht="12.75">
      <c r="A360" s="158">
        <f t="shared" si="17"/>
        <v>294</v>
      </c>
      <c r="B360" s="15">
        <v>4370</v>
      </c>
      <c r="C360" s="120" t="s">
        <v>320</v>
      </c>
      <c r="D360" s="25"/>
      <c r="E360" s="46"/>
      <c r="F360" s="138"/>
      <c r="G360" s="138"/>
      <c r="H360" s="138"/>
      <c r="I360" s="203"/>
      <c r="J360" s="203"/>
    </row>
    <row r="361" spans="1:10" ht="12.75">
      <c r="A361" s="158">
        <f t="shared" si="17"/>
        <v>295</v>
      </c>
      <c r="B361" s="15"/>
      <c r="C361" s="120" t="s">
        <v>304</v>
      </c>
      <c r="D361" s="25"/>
      <c r="E361" s="46"/>
      <c r="F361" s="138">
        <v>41500</v>
      </c>
      <c r="G361" s="138">
        <v>41500</v>
      </c>
      <c r="H361" s="138">
        <v>40900</v>
      </c>
      <c r="I361" s="203">
        <f t="shared" si="15"/>
        <v>0.9855421686746988</v>
      </c>
      <c r="J361" s="203">
        <f>H361/$H$1363</f>
        <v>0.000889699920096681</v>
      </c>
    </row>
    <row r="362" spans="1:10" ht="12.75">
      <c r="A362" s="158">
        <f t="shared" si="17"/>
        <v>296</v>
      </c>
      <c r="B362" s="15">
        <v>4400</v>
      </c>
      <c r="C362" s="120" t="s">
        <v>438</v>
      </c>
      <c r="D362" s="25"/>
      <c r="E362" s="46"/>
      <c r="F362" s="138"/>
      <c r="G362" s="138"/>
      <c r="H362" s="138"/>
      <c r="I362" s="203"/>
      <c r="J362" s="203">
        <f>H362/$H$1363</f>
        <v>0</v>
      </c>
    </row>
    <row r="363" spans="1:10" ht="12.75">
      <c r="A363" s="158">
        <f t="shared" si="17"/>
        <v>297</v>
      </c>
      <c r="B363" s="15"/>
      <c r="C363" s="120" t="s">
        <v>437</v>
      </c>
      <c r="D363" s="25"/>
      <c r="E363" s="46"/>
      <c r="F363" s="138">
        <v>33000</v>
      </c>
      <c r="G363" s="138">
        <v>33000</v>
      </c>
      <c r="H363" s="138">
        <v>35000</v>
      </c>
      <c r="I363" s="203">
        <f t="shared" si="15"/>
        <v>1.0606060606060606</v>
      </c>
      <c r="J363" s="203">
        <f>H363/$H$1363</f>
        <v>0.0007613568998382355</v>
      </c>
    </row>
    <row r="364" spans="1:10" ht="12.75">
      <c r="A364" s="158">
        <f t="shared" si="17"/>
        <v>298</v>
      </c>
      <c r="B364" s="15">
        <v>4410</v>
      </c>
      <c r="C364" s="120" t="s">
        <v>29</v>
      </c>
      <c r="D364" s="25"/>
      <c r="E364" s="51">
        <f>SUM(E366:E368)</f>
        <v>32700</v>
      </c>
      <c r="F364" s="149">
        <f>SUM(F366:F368)</f>
        <v>46700</v>
      </c>
      <c r="G364" s="149">
        <f>SUM(G366:G368)</f>
        <v>46700</v>
      </c>
      <c r="H364" s="149">
        <f>SUM(H366:H368)</f>
        <v>48800</v>
      </c>
      <c r="I364" s="203">
        <f t="shared" si="15"/>
        <v>1.044967880085653</v>
      </c>
      <c r="J364" s="203">
        <f>H364/$H$1363</f>
        <v>0.0010615490489173113</v>
      </c>
    </row>
    <row r="365" spans="1:10" ht="12.75">
      <c r="A365" s="158">
        <f t="shared" si="17"/>
        <v>299</v>
      </c>
      <c r="B365" s="15"/>
      <c r="C365" s="120" t="s">
        <v>15</v>
      </c>
      <c r="D365" s="25"/>
      <c r="E365" s="46"/>
      <c r="F365" s="138"/>
      <c r="G365" s="138"/>
      <c r="H365" s="138"/>
      <c r="I365" s="203"/>
      <c r="J365" s="203"/>
    </row>
    <row r="366" spans="1:10" ht="12.75">
      <c r="A366" s="158">
        <f t="shared" si="17"/>
        <v>300</v>
      </c>
      <c r="B366" s="15"/>
      <c r="C366" s="120" t="s">
        <v>54</v>
      </c>
      <c r="D366" s="25"/>
      <c r="E366" s="46">
        <v>6500</v>
      </c>
      <c r="F366" s="138">
        <v>19000</v>
      </c>
      <c r="G366" s="138">
        <v>19000</v>
      </c>
      <c r="H366" s="138">
        <v>20000</v>
      </c>
      <c r="I366" s="203">
        <f t="shared" si="15"/>
        <v>1.0526315789473684</v>
      </c>
      <c r="J366" s="203">
        <f>H366/$H$1363</f>
        <v>0.0004350610856218489</v>
      </c>
    </row>
    <row r="367" spans="1:10" ht="12.75">
      <c r="A367" s="158">
        <f t="shared" si="17"/>
        <v>301</v>
      </c>
      <c r="B367" s="15"/>
      <c r="C367" s="120" t="s">
        <v>65</v>
      </c>
      <c r="D367" s="25"/>
      <c r="E367" s="46">
        <v>10000</v>
      </c>
      <c r="F367" s="138">
        <v>7700</v>
      </c>
      <c r="G367" s="138">
        <v>7700</v>
      </c>
      <c r="H367" s="138">
        <v>7800</v>
      </c>
      <c r="I367" s="203">
        <f t="shared" si="15"/>
        <v>1.0129870129870129</v>
      </c>
      <c r="J367" s="203">
        <f>H367/$H$1363</f>
        <v>0.00016967382339252106</v>
      </c>
    </row>
    <row r="368" spans="1:10" ht="12.75">
      <c r="A368" s="158">
        <f t="shared" si="17"/>
        <v>302</v>
      </c>
      <c r="B368" s="15"/>
      <c r="C368" s="120" t="s">
        <v>55</v>
      </c>
      <c r="D368" s="25"/>
      <c r="E368" s="46">
        <v>16200</v>
      </c>
      <c r="F368" s="138">
        <v>20000</v>
      </c>
      <c r="G368" s="138">
        <v>20000</v>
      </c>
      <c r="H368" s="138">
        <v>21000</v>
      </c>
      <c r="I368" s="203">
        <f t="shared" si="15"/>
        <v>1.05</v>
      </c>
      <c r="J368" s="203">
        <f>H368/$H$1363</f>
        <v>0.00045681413990294133</v>
      </c>
    </row>
    <row r="369" spans="1:10" ht="12.75">
      <c r="A369" s="158">
        <f t="shared" si="17"/>
        <v>303</v>
      </c>
      <c r="B369" s="15">
        <v>4420</v>
      </c>
      <c r="C369" s="120" t="s">
        <v>43</v>
      </c>
      <c r="D369" s="25"/>
      <c r="E369" s="46">
        <v>1600</v>
      </c>
      <c r="F369" s="138">
        <v>7600</v>
      </c>
      <c r="G369" s="138">
        <v>7600</v>
      </c>
      <c r="H369" s="138">
        <v>8000</v>
      </c>
      <c r="I369" s="203">
        <f t="shared" si="15"/>
        <v>1.0526315789473684</v>
      </c>
      <c r="J369" s="203">
        <f>H369/$H$1363</f>
        <v>0.00017402443424873956</v>
      </c>
    </row>
    <row r="370" spans="1:10" ht="12.75">
      <c r="A370" s="158">
        <f t="shared" si="17"/>
        <v>304</v>
      </c>
      <c r="B370" s="15">
        <v>4430</v>
      </c>
      <c r="C370" s="120" t="s">
        <v>40</v>
      </c>
      <c r="D370" s="25"/>
      <c r="E370" s="45">
        <f>SUM(E372:E373)</f>
        <v>5100</v>
      </c>
      <c r="F370" s="28">
        <f>SUM(F372:F374)</f>
        <v>17000</v>
      </c>
      <c r="G370" s="28">
        <f>SUM(G372:G374)</f>
        <v>16990</v>
      </c>
      <c r="H370" s="28">
        <f>SUM(H372:H374)</f>
        <v>24250</v>
      </c>
      <c r="I370" s="203">
        <f t="shared" si="15"/>
        <v>1.4273101824602707</v>
      </c>
      <c r="J370" s="203">
        <f>H370/$H$1363</f>
        <v>0.0005275115663164918</v>
      </c>
    </row>
    <row r="371" spans="1:10" ht="12.75">
      <c r="A371" s="158">
        <f t="shared" si="17"/>
        <v>305</v>
      </c>
      <c r="B371" s="15"/>
      <c r="C371" s="120" t="s">
        <v>15</v>
      </c>
      <c r="D371" s="25"/>
      <c r="E371" s="46"/>
      <c r="F371" s="138"/>
      <c r="G371" s="138"/>
      <c r="H371" s="138"/>
      <c r="I371" s="203"/>
      <c r="J371" s="203"/>
    </row>
    <row r="372" spans="1:10" ht="12.75">
      <c r="A372" s="158">
        <f t="shared" si="17"/>
        <v>306</v>
      </c>
      <c r="B372" s="15"/>
      <c r="C372" s="120" t="s">
        <v>80</v>
      </c>
      <c r="D372" s="25"/>
      <c r="E372" s="46">
        <v>5100</v>
      </c>
      <c r="F372" s="138">
        <v>11000</v>
      </c>
      <c r="G372" s="138">
        <v>11000</v>
      </c>
      <c r="H372" s="138">
        <v>11250</v>
      </c>
      <c r="I372" s="203">
        <f t="shared" si="15"/>
        <v>1.0227272727272727</v>
      </c>
      <c r="J372" s="203">
        <f aca="true" t="shared" si="18" ref="J372:J377">H372/$H$1363</f>
        <v>0.00024472186066229</v>
      </c>
    </row>
    <row r="373" spans="1:10" ht="12.75">
      <c r="A373" s="158">
        <f t="shared" si="17"/>
        <v>307</v>
      </c>
      <c r="B373" s="15"/>
      <c r="C373" s="120" t="s">
        <v>172</v>
      </c>
      <c r="D373" s="25"/>
      <c r="E373" s="46">
        <v>0</v>
      </c>
      <c r="F373" s="138">
        <v>3000</v>
      </c>
      <c r="G373" s="138">
        <v>3000</v>
      </c>
      <c r="H373" s="138">
        <v>3000</v>
      </c>
      <c r="I373" s="203">
        <f t="shared" si="15"/>
        <v>1</v>
      </c>
      <c r="J373" s="203">
        <f t="shared" si="18"/>
        <v>6.525916284327733E-05</v>
      </c>
    </row>
    <row r="374" spans="1:10" ht="12.75">
      <c r="A374" s="158">
        <f t="shared" si="17"/>
        <v>308</v>
      </c>
      <c r="B374" s="15"/>
      <c r="C374" s="120" t="s">
        <v>305</v>
      </c>
      <c r="D374" s="25"/>
      <c r="E374" s="46"/>
      <c r="F374" s="138">
        <v>3000</v>
      </c>
      <c r="G374" s="138">
        <v>2990</v>
      </c>
      <c r="H374" s="138">
        <v>10000</v>
      </c>
      <c r="I374" s="203">
        <f t="shared" si="15"/>
        <v>3.3444816053511706</v>
      </c>
      <c r="J374" s="203">
        <f t="shared" si="18"/>
        <v>0.00021753054281092445</v>
      </c>
    </row>
    <row r="375" spans="1:10" ht="12.75">
      <c r="A375" s="158">
        <f t="shared" si="17"/>
        <v>309</v>
      </c>
      <c r="B375" s="15">
        <v>4440</v>
      </c>
      <c r="C375" s="120" t="s">
        <v>676</v>
      </c>
      <c r="D375" s="25"/>
      <c r="E375" s="46">
        <v>17500</v>
      </c>
      <c r="F375" s="138">
        <v>28433</v>
      </c>
      <c r="G375" s="138">
        <v>28433</v>
      </c>
      <c r="H375" s="138">
        <v>29500</v>
      </c>
      <c r="I375" s="203">
        <f t="shared" si="15"/>
        <v>1.0375268174304506</v>
      </c>
      <c r="J375" s="203">
        <f t="shared" si="18"/>
        <v>0.0006417151012922272</v>
      </c>
    </row>
    <row r="376" spans="1:10" ht="12.75">
      <c r="A376" s="158">
        <f t="shared" si="17"/>
        <v>310</v>
      </c>
      <c r="B376" s="15">
        <v>4580</v>
      </c>
      <c r="C376" s="120" t="s">
        <v>183</v>
      </c>
      <c r="D376" s="25"/>
      <c r="E376" s="46"/>
      <c r="F376" s="138">
        <v>1</v>
      </c>
      <c r="G376" s="138">
        <v>0.88</v>
      </c>
      <c r="H376" s="138">
        <v>0</v>
      </c>
      <c r="I376" s="203">
        <f t="shared" si="15"/>
        <v>0</v>
      </c>
      <c r="J376" s="203">
        <f t="shared" si="18"/>
        <v>0</v>
      </c>
    </row>
    <row r="377" spans="1:10" ht="12.75">
      <c r="A377" s="158">
        <f t="shared" si="17"/>
        <v>311</v>
      </c>
      <c r="B377" s="15">
        <v>4610</v>
      </c>
      <c r="C377" s="120" t="s">
        <v>675</v>
      </c>
      <c r="D377" s="25"/>
      <c r="E377" s="46">
        <v>37000</v>
      </c>
      <c r="F377" s="138">
        <f>SUM(F379:F380)</f>
        <v>40000</v>
      </c>
      <c r="G377" s="138">
        <f>SUM(G379:G380)</f>
        <v>40000</v>
      </c>
      <c r="H377" s="138">
        <f>SUM(H379:H380)</f>
        <v>40000</v>
      </c>
      <c r="I377" s="203">
        <f t="shared" si="15"/>
        <v>1</v>
      </c>
      <c r="J377" s="203">
        <f t="shared" si="18"/>
        <v>0.0008701221712436978</v>
      </c>
    </row>
    <row r="378" spans="1:10" ht="12.75">
      <c r="A378" s="158">
        <f t="shared" si="17"/>
        <v>312</v>
      </c>
      <c r="B378" s="15"/>
      <c r="C378" s="120" t="s">
        <v>15</v>
      </c>
      <c r="D378" s="25"/>
      <c r="E378" s="46"/>
      <c r="F378" s="138"/>
      <c r="G378" s="138"/>
      <c r="H378" s="138"/>
      <c r="I378" s="203"/>
      <c r="J378" s="203"/>
    </row>
    <row r="379" spans="1:10" ht="12.75">
      <c r="A379" s="158">
        <f t="shared" si="17"/>
        <v>313</v>
      </c>
      <c r="B379" s="15"/>
      <c r="C379" s="120" t="s">
        <v>308</v>
      </c>
      <c r="D379" s="25"/>
      <c r="E379" s="46"/>
      <c r="F379" s="138">
        <v>33000</v>
      </c>
      <c r="G379" s="138">
        <v>33000</v>
      </c>
      <c r="H379" s="138">
        <v>33000</v>
      </c>
      <c r="I379" s="203">
        <f t="shared" si="15"/>
        <v>1</v>
      </c>
      <c r="J379" s="203">
        <f>H379/$H$1363</f>
        <v>0.0007178507912760507</v>
      </c>
    </row>
    <row r="380" spans="1:10" ht="12.75">
      <c r="A380" s="158">
        <f t="shared" si="17"/>
        <v>314</v>
      </c>
      <c r="B380" s="15"/>
      <c r="C380" s="120" t="s">
        <v>307</v>
      </c>
      <c r="D380" s="25"/>
      <c r="E380" s="46"/>
      <c r="F380" s="138">
        <v>7000</v>
      </c>
      <c r="G380" s="138">
        <v>7000</v>
      </c>
      <c r="H380" s="138">
        <v>7000</v>
      </c>
      <c r="I380" s="203">
        <f t="shared" si="15"/>
        <v>1</v>
      </c>
      <c r="J380" s="203">
        <f>H380/$H$1363</f>
        <v>0.00015227137996764713</v>
      </c>
    </row>
    <row r="381" spans="1:10" ht="12.75">
      <c r="A381" s="158">
        <f t="shared" si="17"/>
        <v>315</v>
      </c>
      <c r="B381" s="15">
        <v>4700</v>
      </c>
      <c r="C381" s="120" t="s">
        <v>342</v>
      </c>
      <c r="D381" s="25"/>
      <c r="E381" s="46"/>
      <c r="F381" s="138"/>
      <c r="G381" s="138"/>
      <c r="H381" s="138"/>
      <c r="I381" s="203"/>
      <c r="J381" s="203">
        <f>H381/$H$1363</f>
        <v>0</v>
      </c>
    </row>
    <row r="382" spans="1:10" ht="12.75">
      <c r="A382" s="158">
        <f t="shared" si="17"/>
        <v>316</v>
      </c>
      <c r="B382" s="15"/>
      <c r="C382" s="120" t="s">
        <v>341</v>
      </c>
      <c r="D382" s="25"/>
      <c r="E382" s="46"/>
      <c r="F382" s="138">
        <v>38900</v>
      </c>
      <c r="G382" s="138">
        <v>38900</v>
      </c>
      <c r="H382" s="138">
        <f>38900+4800</f>
        <v>43700</v>
      </c>
      <c r="I382" s="203">
        <f t="shared" si="15"/>
        <v>1.1233933161953729</v>
      </c>
      <c r="J382" s="203">
        <f>H382/$H$1363</f>
        <v>0.0009506084720837399</v>
      </c>
    </row>
    <row r="383" spans="1:10" ht="12.75">
      <c r="A383" s="158">
        <f t="shared" si="17"/>
        <v>317</v>
      </c>
      <c r="B383" s="15">
        <v>4740</v>
      </c>
      <c r="C383" s="120" t="s">
        <v>309</v>
      </c>
      <c r="D383" s="25"/>
      <c r="E383" s="46"/>
      <c r="F383" s="138"/>
      <c r="G383" s="138"/>
      <c r="H383" s="138"/>
      <c r="I383" s="203"/>
      <c r="J383" s="203"/>
    </row>
    <row r="384" spans="1:10" ht="12.75">
      <c r="A384" s="158">
        <f t="shared" si="17"/>
        <v>318</v>
      </c>
      <c r="B384" s="15"/>
      <c r="C384" s="120" t="s">
        <v>310</v>
      </c>
      <c r="D384" s="25"/>
      <c r="E384" s="46"/>
      <c r="F384" s="138">
        <v>6500</v>
      </c>
      <c r="G384" s="138">
        <v>6500</v>
      </c>
      <c r="H384" s="138">
        <v>6650</v>
      </c>
      <c r="I384" s="203">
        <f t="shared" si="15"/>
        <v>1.023076923076923</v>
      </c>
      <c r="J384" s="203">
        <f>H384/$H$1363</f>
        <v>0.00014465781096926477</v>
      </c>
    </row>
    <row r="385" spans="1:10" ht="12.75">
      <c r="A385" s="158">
        <f t="shared" si="17"/>
        <v>319</v>
      </c>
      <c r="B385" s="15">
        <v>4750</v>
      </c>
      <c r="C385" s="120" t="s">
        <v>311</v>
      </c>
      <c r="D385" s="25"/>
      <c r="E385" s="46"/>
      <c r="F385" s="138"/>
      <c r="G385" s="138"/>
      <c r="H385" s="138"/>
      <c r="I385" s="203"/>
      <c r="J385" s="203"/>
    </row>
    <row r="386" spans="1:10" ht="12.75">
      <c r="A386" s="158">
        <f t="shared" si="17"/>
        <v>320</v>
      </c>
      <c r="B386" s="15"/>
      <c r="C386" s="120" t="s">
        <v>312</v>
      </c>
      <c r="D386" s="25"/>
      <c r="E386" s="46"/>
      <c r="F386" s="138">
        <f>SUM(F388:F389)</f>
        <v>59590</v>
      </c>
      <c r="G386" s="138">
        <f>SUM(G388:G389)</f>
        <v>59590</v>
      </c>
      <c r="H386" s="138">
        <f>SUM(H388:H389)</f>
        <v>48098.65</v>
      </c>
      <c r="I386" s="203">
        <f t="shared" si="15"/>
        <v>0.8071597583487162</v>
      </c>
      <c r="J386" s="203">
        <f>H386/$H$1363</f>
        <v>0.001046292544297267</v>
      </c>
    </row>
    <row r="387" spans="1:10" ht="12.75">
      <c r="A387" s="158">
        <f t="shared" si="17"/>
        <v>321</v>
      </c>
      <c r="B387" s="15"/>
      <c r="C387" s="120" t="s">
        <v>15</v>
      </c>
      <c r="D387" s="25"/>
      <c r="E387" s="46"/>
      <c r="F387" s="138"/>
      <c r="G387" s="138"/>
      <c r="H387" s="138"/>
      <c r="I387" s="203"/>
      <c r="J387" s="203"/>
    </row>
    <row r="388" spans="1:10" ht="12.75">
      <c r="A388" s="158">
        <f t="shared" si="17"/>
        <v>322</v>
      </c>
      <c r="B388" s="15"/>
      <c r="C388" s="120" t="s">
        <v>439</v>
      </c>
      <c r="D388" s="25"/>
      <c r="E388" s="46"/>
      <c r="F388" s="138">
        <v>17590</v>
      </c>
      <c r="G388" s="138">
        <v>17590</v>
      </c>
      <c r="H388" s="138">
        <v>3000</v>
      </c>
      <c r="I388" s="203">
        <f t="shared" si="15"/>
        <v>0.17055144968732233</v>
      </c>
      <c r="J388" s="203">
        <f>H388/$H$1363</f>
        <v>6.525916284327733E-05</v>
      </c>
    </row>
    <row r="389" spans="1:10" ht="12.75">
      <c r="A389" s="158">
        <f t="shared" si="17"/>
        <v>323</v>
      </c>
      <c r="B389" s="15"/>
      <c r="C389" s="120" t="s">
        <v>337</v>
      </c>
      <c r="D389" s="25"/>
      <c r="E389" s="46"/>
      <c r="F389" s="138">
        <v>42000</v>
      </c>
      <c r="G389" s="138">
        <v>42000</v>
      </c>
      <c r="H389" s="138">
        <v>45098.65</v>
      </c>
      <c r="I389" s="203">
        <f t="shared" si="15"/>
        <v>1.073777380952381</v>
      </c>
      <c r="J389" s="203">
        <f>H389/$H$1363</f>
        <v>0.0009810333814539898</v>
      </c>
    </row>
    <row r="390" spans="1:10" ht="12.75">
      <c r="A390" s="158">
        <f t="shared" si="17"/>
        <v>324</v>
      </c>
      <c r="B390" s="15">
        <v>6050</v>
      </c>
      <c r="C390" s="120" t="s">
        <v>191</v>
      </c>
      <c r="D390" s="25"/>
      <c r="E390" s="46"/>
      <c r="F390" s="138">
        <f>SUM(F392:F399)</f>
        <v>132650</v>
      </c>
      <c r="G390" s="138">
        <f>SUM(G392:G399)</f>
        <v>131861.63</v>
      </c>
      <c r="H390" s="138">
        <f>SUM(H392:H399)</f>
        <v>188500</v>
      </c>
      <c r="I390" s="203">
        <f aca="true" t="shared" si="19" ref="I390:I449">H390/G390</f>
        <v>1.4295288174429512</v>
      </c>
      <c r="J390" s="203">
        <f>H390/$H$1363</f>
        <v>0.004100450731985926</v>
      </c>
    </row>
    <row r="391" spans="1:10" ht="12.75">
      <c r="A391" s="158">
        <f t="shared" si="17"/>
        <v>325</v>
      </c>
      <c r="B391" s="15"/>
      <c r="C391" s="120" t="s">
        <v>15</v>
      </c>
      <c r="D391" s="25"/>
      <c r="E391" s="46"/>
      <c r="F391" s="138"/>
      <c r="G391" s="138"/>
      <c r="H391" s="138"/>
      <c r="I391" s="203"/>
      <c r="J391" s="203"/>
    </row>
    <row r="392" spans="1:10" ht="12.75">
      <c r="A392" s="158">
        <f t="shared" si="17"/>
        <v>326</v>
      </c>
      <c r="B392" s="15"/>
      <c r="C392" s="120" t="s">
        <v>313</v>
      </c>
      <c r="D392" s="25"/>
      <c r="E392" s="46"/>
      <c r="F392" s="138">
        <v>4000</v>
      </c>
      <c r="G392" s="138">
        <v>4000</v>
      </c>
      <c r="H392" s="138">
        <v>0</v>
      </c>
      <c r="I392" s="203">
        <f t="shared" si="19"/>
        <v>0</v>
      </c>
      <c r="J392" s="203">
        <f>H392/$H$1363</f>
        <v>0</v>
      </c>
    </row>
    <row r="393" spans="1:10" ht="12.75">
      <c r="A393" s="158">
        <f t="shared" si="17"/>
        <v>327</v>
      </c>
      <c r="B393" s="15"/>
      <c r="C393" s="120" t="s">
        <v>352</v>
      </c>
      <c r="D393" s="25"/>
      <c r="E393" s="46"/>
      <c r="F393" s="138">
        <v>25550</v>
      </c>
      <c r="G393" s="138">
        <v>25142.37</v>
      </c>
      <c r="H393" s="138">
        <v>0</v>
      </c>
      <c r="I393" s="203">
        <f t="shared" si="19"/>
        <v>0</v>
      </c>
      <c r="J393" s="203">
        <f>H393/$H$1363</f>
        <v>0</v>
      </c>
    </row>
    <row r="394" spans="1:10" ht="12.75">
      <c r="A394" s="158">
        <f t="shared" si="17"/>
        <v>328</v>
      </c>
      <c r="B394" s="15"/>
      <c r="C394" s="120" t="s">
        <v>285</v>
      </c>
      <c r="D394" s="25"/>
      <c r="E394" s="46"/>
      <c r="F394" s="138"/>
      <c r="G394" s="138"/>
      <c r="H394" s="138"/>
      <c r="I394" s="203"/>
      <c r="J394" s="203"/>
    </row>
    <row r="395" spans="1:10" ht="12.75">
      <c r="A395" s="158">
        <f t="shared" si="17"/>
        <v>329</v>
      </c>
      <c r="B395" s="15"/>
      <c r="C395" s="120" t="s">
        <v>509</v>
      </c>
      <c r="D395" s="25"/>
      <c r="E395" s="46"/>
      <c r="F395" s="138">
        <v>52400</v>
      </c>
      <c r="G395" s="138">
        <v>52394.8</v>
      </c>
      <c r="H395" s="138">
        <v>0</v>
      </c>
      <c r="I395" s="203">
        <f t="shared" si="19"/>
        <v>0</v>
      </c>
      <c r="J395" s="203">
        <f>H395/$H$1363</f>
        <v>0</v>
      </c>
    </row>
    <row r="396" spans="1:10" ht="12.75">
      <c r="A396" s="158">
        <f t="shared" si="17"/>
        <v>330</v>
      </c>
      <c r="B396" s="15"/>
      <c r="C396" s="120" t="s">
        <v>624</v>
      </c>
      <c r="D396" s="25"/>
      <c r="E396" s="46"/>
      <c r="F396" s="138">
        <v>28600</v>
      </c>
      <c r="G396" s="138">
        <v>28224.46</v>
      </c>
      <c r="H396" s="138">
        <v>0</v>
      </c>
      <c r="I396" s="203">
        <f t="shared" si="19"/>
        <v>0</v>
      </c>
      <c r="J396" s="203">
        <f>H396/$H$1363</f>
        <v>0</v>
      </c>
    </row>
    <row r="397" spans="1:10" ht="12.75">
      <c r="A397" s="158">
        <f t="shared" si="17"/>
        <v>331</v>
      </c>
      <c r="B397" s="15"/>
      <c r="C397" s="120" t="s">
        <v>585</v>
      </c>
      <c r="D397" s="25"/>
      <c r="E397" s="46"/>
      <c r="F397" s="138">
        <v>22100</v>
      </c>
      <c r="G397" s="138">
        <v>22100</v>
      </c>
      <c r="H397" s="138">
        <v>0</v>
      </c>
      <c r="I397" s="203">
        <f t="shared" si="19"/>
        <v>0</v>
      </c>
      <c r="J397" s="203">
        <f>H397/$H$1363</f>
        <v>0</v>
      </c>
    </row>
    <row r="398" spans="1:10" ht="12.75">
      <c r="A398" s="158">
        <f t="shared" si="17"/>
        <v>332</v>
      </c>
      <c r="B398" s="15"/>
      <c r="C398" s="123" t="s">
        <v>626</v>
      </c>
      <c r="D398" s="25"/>
      <c r="E398" s="46"/>
      <c r="F398" s="138"/>
      <c r="G398" s="138"/>
      <c r="H398" s="138"/>
      <c r="I398" s="203"/>
      <c r="J398" s="203"/>
    </row>
    <row r="399" spans="1:10" ht="12.75">
      <c r="A399" s="158">
        <f t="shared" si="17"/>
        <v>333</v>
      </c>
      <c r="B399" s="15"/>
      <c r="C399" s="123" t="s">
        <v>625</v>
      </c>
      <c r="D399" s="25"/>
      <c r="E399" s="46"/>
      <c r="F399" s="138">
        <v>0</v>
      </c>
      <c r="G399" s="138">
        <v>0</v>
      </c>
      <c r="H399" s="138">
        <v>188500</v>
      </c>
      <c r="I399" s="203"/>
      <c r="J399" s="203">
        <f>H399/$H$1363</f>
        <v>0.004100450731985926</v>
      </c>
    </row>
    <row r="400" spans="1:10" ht="12.75">
      <c r="A400" s="158">
        <f t="shared" si="17"/>
        <v>334</v>
      </c>
      <c r="B400" s="15">
        <v>6060</v>
      </c>
      <c r="C400" s="120" t="s">
        <v>155</v>
      </c>
      <c r="D400" s="25"/>
      <c r="E400" s="45" t="e">
        <f>SUM(#REF!)</f>
        <v>#REF!</v>
      </c>
      <c r="F400" s="28">
        <f>SUM(F403:F407)</f>
        <v>59150</v>
      </c>
      <c r="G400" s="28">
        <f>SUM(G403:G407)</f>
        <v>59048.84</v>
      </c>
      <c r="H400" s="28">
        <f>SUM(H403:H407)</f>
        <v>69700</v>
      </c>
      <c r="I400" s="203">
        <f t="shared" si="19"/>
        <v>1.1803788186186215</v>
      </c>
      <c r="J400" s="203">
        <f>H400/$H$1363</f>
        <v>0.0015161878833921435</v>
      </c>
    </row>
    <row r="401" spans="1:10" ht="12.75">
      <c r="A401" s="158">
        <f t="shared" si="17"/>
        <v>335</v>
      </c>
      <c r="B401" s="15"/>
      <c r="C401" s="120" t="s">
        <v>15</v>
      </c>
      <c r="D401" s="25"/>
      <c r="E401" s="46"/>
      <c r="F401" s="138"/>
      <c r="G401" s="138"/>
      <c r="H401" s="138"/>
      <c r="I401" s="203"/>
      <c r="J401" s="203"/>
    </row>
    <row r="402" spans="1:10" ht="12.75">
      <c r="A402" s="158">
        <f t="shared" si="17"/>
        <v>336</v>
      </c>
      <c r="B402" s="15"/>
      <c r="C402" s="120" t="s">
        <v>548</v>
      </c>
      <c r="D402" s="25"/>
      <c r="E402" s="46"/>
      <c r="G402" s="28"/>
      <c r="H402" s="28"/>
      <c r="I402" s="203"/>
      <c r="J402" s="203"/>
    </row>
    <row r="403" spans="1:10" ht="12.75">
      <c r="A403" s="158">
        <f t="shared" si="17"/>
        <v>337</v>
      </c>
      <c r="B403" s="15"/>
      <c r="C403" s="120" t="s">
        <v>627</v>
      </c>
      <c r="D403" s="25"/>
      <c r="E403" s="46"/>
      <c r="F403" s="138">
        <v>28400</v>
      </c>
      <c r="G403" s="138">
        <v>28400</v>
      </c>
      <c r="H403" s="138">
        <v>69700</v>
      </c>
      <c r="I403" s="203">
        <f>H404/G404</f>
        <v>0</v>
      </c>
      <c r="J403" s="203">
        <f>H404/$H$1363</f>
        <v>0</v>
      </c>
    </row>
    <row r="404" spans="1:10" ht="12.75">
      <c r="A404" s="158">
        <f t="shared" si="17"/>
        <v>338</v>
      </c>
      <c r="B404" s="15"/>
      <c r="C404" s="120" t="s">
        <v>394</v>
      </c>
      <c r="D404" s="25"/>
      <c r="E404" s="46"/>
      <c r="F404" s="138">
        <v>10730</v>
      </c>
      <c r="G404" s="138">
        <v>10687.2</v>
      </c>
      <c r="H404" s="138">
        <v>0</v>
      </c>
      <c r="I404" s="203">
        <f t="shared" si="19"/>
        <v>0</v>
      </c>
      <c r="J404" s="203">
        <f aca="true" t="shared" si="20" ref="J404:J411">H404/$H$1363</f>
        <v>0</v>
      </c>
    </row>
    <row r="405" spans="1:10" ht="12.75">
      <c r="A405" s="158">
        <f t="shared" si="17"/>
        <v>339</v>
      </c>
      <c r="B405" s="15"/>
      <c r="C405" s="120" t="s">
        <v>440</v>
      </c>
      <c r="D405" s="25"/>
      <c r="E405" s="46"/>
      <c r="F405" s="138">
        <v>3750</v>
      </c>
      <c r="G405" s="138">
        <v>3747.84</v>
      </c>
      <c r="H405" s="138">
        <v>0</v>
      </c>
      <c r="I405" s="203">
        <f t="shared" si="19"/>
        <v>0</v>
      </c>
      <c r="J405" s="203">
        <f t="shared" si="20"/>
        <v>0</v>
      </c>
    </row>
    <row r="406" spans="1:10" ht="12.75">
      <c r="A406" s="158">
        <f t="shared" si="17"/>
        <v>340</v>
      </c>
      <c r="B406" s="15"/>
      <c r="C406" s="120" t="s">
        <v>441</v>
      </c>
      <c r="D406" s="25"/>
      <c r="E406" s="46"/>
      <c r="F406" s="138">
        <v>12000</v>
      </c>
      <c r="G406" s="138">
        <v>11943.8</v>
      </c>
      <c r="H406" s="138">
        <v>0</v>
      </c>
      <c r="I406" s="203">
        <f t="shared" si="19"/>
        <v>0</v>
      </c>
      <c r="J406" s="203">
        <f t="shared" si="20"/>
        <v>0</v>
      </c>
    </row>
    <row r="407" spans="1:10" ht="12.75">
      <c r="A407" s="158">
        <f t="shared" si="17"/>
        <v>341</v>
      </c>
      <c r="B407" s="15"/>
      <c r="C407" s="120" t="s">
        <v>677</v>
      </c>
      <c r="D407" s="25"/>
      <c r="E407" s="46"/>
      <c r="F407" s="138">
        <v>4270</v>
      </c>
      <c r="G407" s="138">
        <v>4270</v>
      </c>
      <c r="H407" s="138">
        <v>0</v>
      </c>
      <c r="I407" s="203">
        <f t="shared" si="19"/>
        <v>0</v>
      </c>
      <c r="J407" s="203">
        <f t="shared" si="20"/>
        <v>0</v>
      </c>
    </row>
    <row r="408" spans="1:10" s="73" customFormat="1" ht="12.75">
      <c r="A408" s="158">
        <f t="shared" si="17"/>
        <v>342</v>
      </c>
      <c r="B408" s="75">
        <v>75045</v>
      </c>
      <c r="C408" s="121" t="s">
        <v>81</v>
      </c>
      <c r="D408" s="63"/>
      <c r="E408" s="64">
        <f>E409</f>
        <v>500</v>
      </c>
      <c r="F408" s="63">
        <f>SUM(F409:F410)</f>
        <v>600</v>
      </c>
      <c r="G408" s="63">
        <f>SUM(G409:G410)</f>
        <v>600</v>
      </c>
      <c r="H408" s="63">
        <f>SUM(H409:H410)</f>
        <v>600</v>
      </c>
      <c r="I408" s="203">
        <f t="shared" si="19"/>
        <v>1</v>
      </c>
      <c r="J408" s="203">
        <f t="shared" si="20"/>
        <v>1.3051832568655468E-05</v>
      </c>
    </row>
    <row r="409" spans="1:10" s="60" customFormat="1" ht="12.75">
      <c r="A409" s="158">
        <f t="shared" si="17"/>
        <v>343</v>
      </c>
      <c r="B409" s="81">
        <v>4300</v>
      </c>
      <c r="C409" s="120" t="s">
        <v>134</v>
      </c>
      <c r="D409" s="84"/>
      <c r="E409" s="83">
        <v>500</v>
      </c>
      <c r="F409" s="144">
        <v>500</v>
      </c>
      <c r="G409" s="144">
        <v>500</v>
      </c>
      <c r="H409" s="144">
        <v>500</v>
      </c>
      <c r="I409" s="203">
        <f t="shared" si="19"/>
        <v>1</v>
      </c>
      <c r="J409" s="203">
        <f t="shared" si="20"/>
        <v>1.0876527140546222E-05</v>
      </c>
    </row>
    <row r="410" spans="1:10" s="60" customFormat="1" ht="12.75">
      <c r="A410" s="158">
        <f t="shared" si="17"/>
        <v>344</v>
      </c>
      <c r="B410" s="81">
        <v>4410</v>
      </c>
      <c r="C410" s="120" t="s">
        <v>29</v>
      </c>
      <c r="D410" s="84"/>
      <c r="E410" s="83"/>
      <c r="F410" s="144">
        <v>100</v>
      </c>
      <c r="G410" s="144">
        <v>100</v>
      </c>
      <c r="H410" s="144">
        <v>100</v>
      </c>
      <c r="I410" s="203">
        <f t="shared" si="19"/>
        <v>1</v>
      </c>
      <c r="J410" s="203">
        <f t="shared" si="20"/>
        <v>2.1753054281092443E-06</v>
      </c>
    </row>
    <row r="411" spans="1:10" s="73" customFormat="1" ht="12.75">
      <c r="A411" s="158">
        <f t="shared" si="17"/>
        <v>345</v>
      </c>
      <c r="B411" s="75">
        <v>75095</v>
      </c>
      <c r="C411" s="121" t="s">
        <v>25</v>
      </c>
      <c r="D411" s="63"/>
      <c r="E411" s="64" t="e">
        <f>#REF!+E424+E429+E430+E445</f>
        <v>#REF!</v>
      </c>
      <c r="F411" s="63">
        <f>F413+F421+F423+F424+F429+F430+F431+F432+F438+F439+F444+F446+F449</f>
        <v>406852</v>
      </c>
      <c r="G411" s="63">
        <f>G413+G421+G423+G424+G429+G430+G431+G432+G438+G439+G444+G446+G449</f>
        <v>398532.16000000003</v>
      </c>
      <c r="H411" s="63">
        <f>H413+H421+H423+H424+H429+H430+H431+H432+H438+H439+H444+H446+H449</f>
        <v>964250</v>
      </c>
      <c r="I411" s="203">
        <f t="shared" si="19"/>
        <v>2.419503610448903</v>
      </c>
      <c r="J411" s="203">
        <f t="shared" si="20"/>
        <v>0.02097538259054339</v>
      </c>
    </row>
    <row r="412" spans="1:10" ht="12.75">
      <c r="A412" s="158">
        <f t="shared" si="17"/>
        <v>346</v>
      </c>
      <c r="B412" s="15">
        <v>2900</v>
      </c>
      <c r="C412" s="120" t="s">
        <v>272</v>
      </c>
      <c r="D412" s="25"/>
      <c r="E412" s="46"/>
      <c r="F412" s="138"/>
      <c r="G412" s="138"/>
      <c r="H412" s="138"/>
      <c r="I412" s="203"/>
      <c r="J412" s="203"/>
    </row>
    <row r="413" spans="1:10" ht="12.75">
      <c r="A413" s="158">
        <f aca="true" t="shared" si="21" ref="A413:A476">A412+1</f>
        <v>347</v>
      </c>
      <c r="B413" s="15"/>
      <c r="C413" s="120" t="s">
        <v>273</v>
      </c>
      <c r="D413" s="25"/>
      <c r="E413" s="46"/>
      <c r="F413" s="138">
        <f>SUM(F415:F419)</f>
        <v>161530</v>
      </c>
      <c r="G413" s="138">
        <f>SUM(G415:G419)</f>
        <v>161290.16</v>
      </c>
      <c r="H413" s="138">
        <f>SUM(H415:H419)</f>
        <v>248665</v>
      </c>
      <c r="I413" s="203">
        <f t="shared" si="19"/>
        <v>1.5417245540583504</v>
      </c>
      <c r="J413" s="203">
        <f aca="true" t="shared" si="22" ref="J413:J467">H413/$H$1363</f>
        <v>0.005409223242807853</v>
      </c>
    </row>
    <row r="414" spans="1:10" ht="12.75">
      <c r="A414" s="158">
        <f t="shared" si="21"/>
        <v>348</v>
      </c>
      <c r="B414" s="15"/>
      <c r="C414" s="120" t="s">
        <v>15</v>
      </c>
      <c r="D414" s="25"/>
      <c r="E414" s="46"/>
      <c r="I414" s="203"/>
      <c r="J414" s="203"/>
    </row>
    <row r="415" spans="1:10" ht="12.75">
      <c r="A415" s="158">
        <f t="shared" si="21"/>
        <v>349</v>
      </c>
      <c r="B415" s="15"/>
      <c r="C415" s="120" t="s">
        <v>274</v>
      </c>
      <c r="D415" s="25"/>
      <c r="E415" s="46"/>
      <c r="F415" s="138">
        <f>127830+14500</f>
        <v>142330</v>
      </c>
      <c r="G415" s="138">
        <v>142330</v>
      </c>
      <c r="H415" s="138">
        <v>234065</v>
      </c>
      <c r="I415" s="203">
        <f t="shared" si="19"/>
        <v>1.6445232909435819</v>
      </c>
      <c r="J415" s="203">
        <f t="shared" si="22"/>
        <v>0.0050916286503039036</v>
      </c>
    </row>
    <row r="416" spans="1:10" ht="12.75">
      <c r="A416" s="158">
        <f t="shared" si="21"/>
        <v>350</v>
      </c>
      <c r="B416" s="15"/>
      <c r="C416" s="120" t="s">
        <v>61</v>
      </c>
      <c r="D416" s="25"/>
      <c r="E416" s="46"/>
      <c r="F416" s="138">
        <v>3100</v>
      </c>
      <c r="G416" s="138">
        <v>3000</v>
      </c>
      <c r="H416" s="138">
        <v>3000</v>
      </c>
      <c r="I416" s="203">
        <f t="shared" si="19"/>
        <v>1</v>
      </c>
      <c r="J416" s="203">
        <f t="shared" si="22"/>
        <v>6.525916284327733E-05</v>
      </c>
    </row>
    <row r="417" spans="1:10" ht="12.75">
      <c r="A417" s="158">
        <f t="shared" si="21"/>
        <v>351</v>
      </c>
      <c r="B417" s="15"/>
      <c r="C417" s="123" t="s">
        <v>178</v>
      </c>
      <c r="D417" s="25"/>
      <c r="E417" s="46"/>
      <c r="F417" s="138">
        <v>4000</v>
      </c>
      <c r="G417" s="138">
        <v>3878.4</v>
      </c>
      <c r="H417" s="138">
        <v>3900</v>
      </c>
      <c r="I417" s="203">
        <f t="shared" si="19"/>
        <v>1.005569306930693</v>
      </c>
      <c r="J417" s="203">
        <f t="shared" si="22"/>
        <v>8.483691169626053E-05</v>
      </c>
    </row>
    <row r="418" spans="1:10" ht="12.75">
      <c r="A418" s="158">
        <f t="shared" si="21"/>
        <v>352</v>
      </c>
      <c r="B418" s="15"/>
      <c r="C418" s="123" t="s">
        <v>442</v>
      </c>
      <c r="D418" s="25"/>
      <c r="E418" s="46"/>
      <c r="F418" s="138">
        <v>11000</v>
      </c>
      <c r="G418" s="138">
        <v>11000</v>
      </c>
      <c r="H418" s="138">
        <v>6600</v>
      </c>
      <c r="I418" s="203">
        <f t="shared" si="19"/>
        <v>0.6</v>
      </c>
      <c r="J418" s="203">
        <f t="shared" si="22"/>
        <v>0.00014357015825521013</v>
      </c>
    </row>
    <row r="419" spans="1:10" ht="12.75">
      <c r="A419" s="158">
        <f t="shared" si="21"/>
        <v>353</v>
      </c>
      <c r="B419" s="15"/>
      <c r="C419" s="120" t="s">
        <v>247</v>
      </c>
      <c r="D419" s="25"/>
      <c r="E419" s="46"/>
      <c r="F419" s="138">
        <v>1100</v>
      </c>
      <c r="G419" s="138">
        <v>1081.76</v>
      </c>
      <c r="H419" s="138">
        <v>1100</v>
      </c>
      <c r="I419" s="203">
        <f t="shared" si="19"/>
        <v>1.0168614110338707</v>
      </c>
      <c r="J419" s="203">
        <f t="shared" si="22"/>
        <v>2.392835970920169E-05</v>
      </c>
    </row>
    <row r="420" spans="1:10" ht="12.75">
      <c r="A420" s="158">
        <f t="shared" si="21"/>
        <v>354</v>
      </c>
      <c r="B420" s="15">
        <v>3020</v>
      </c>
      <c r="C420" s="120" t="s">
        <v>238</v>
      </c>
      <c r="D420" s="25"/>
      <c r="E420" s="46"/>
      <c r="F420" s="138"/>
      <c r="G420" s="138"/>
      <c r="H420" s="138"/>
      <c r="I420" s="203"/>
      <c r="J420" s="203"/>
    </row>
    <row r="421" spans="1:10" ht="12.75">
      <c r="A421" s="158">
        <f t="shared" si="21"/>
        <v>355</v>
      </c>
      <c r="B421" s="15"/>
      <c r="C421" s="120" t="s">
        <v>443</v>
      </c>
      <c r="D421" s="25"/>
      <c r="E421" s="46"/>
      <c r="F421" s="138">
        <v>4000</v>
      </c>
      <c r="G421" s="138">
        <v>1920</v>
      </c>
      <c r="H421" s="138">
        <v>1920</v>
      </c>
      <c r="I421" s="203">
        <f t="shared" si="19"/>
        <v>1</v>
      </c>
      <c r="J421" s="203">
        <f t="shared" si="22"/>
        <v>4.17658642196975E-05</v>
      </c>
    </row>
    <row r="422" spans="1:10" ht="12.75">
      <c r="A422" s="158">
        <f t="shared" si="21"/>
        <v>356</v>
      </c>
      <c r="B422" s="15">
        <v>4010</v>
      </c>
      <c r="C422" s="120" t="s">
        <v>27</v>
      </c>
      <c r="D422" s="25"/>
      <c r="E422" s="46"/>
      <c r="F422" s="138"/>
      <c r="G422" s="138"/>
      <c r="H422" s="138"/>
      <c r="I422" s="203"/>
      <c r="J422" s="203"/>
    </row>
    <row r="423" spans="1:10" ht="12.75">
      <c r="A423" s="158">
        <f t="shared" si="21"/>
        <v>357</v>
      </c>
      <c r="B423" s="15"/>
      <c r="C423" s="120" t="s">
        <v>444</v>
      </c>
      <c r="D423" s="25"/>
      <c r="E423" s="46"/>
      <c r="F423" s="138">
        <v>18900</v>
      </c>
      <c r="G423" s="138">
        <v>18900</v>
      </c>
      <c r="H423" s="138">
        <v>26000</v>
      </c>
      <c r="I423" s="203">
        <f t="shared" si="19"/>
        <v>1.3756613756613756</v>
      </c>
      <c r="J423" s="203">
        <f t="shared" si="22"/>
        <v>0.0005655794113084035</v>
      </c>
    </row>
    <row r="424" spans="1:10" ht="12.75">
      <c r="A424" s="158">
        <f t="shared" si="21"/>
        <v>358</v>
      </c>
      <c r="B424" s="15">
        <v>4100</v>
      </c>
      <c r="C424" s="120" t="s">
        <v>678</v>
      </c>
      <c r="D424" s="25"/>
      <c r="E424" s="51">
        <f>SUM(E426:E428)</f>
        <v>80200</v>
      </c>
      <c r="F424" s="149">
        <f>SUM(F426:F428)</f>
        <v>89500</v>
      </c>
      <c r="G424" s="149">
        <f>SUM(G426:G428)</f>
        <v>89500</v>
      </c>
      <c r="H424" s="149">
        <f>SUM(H426:H428)</f>
        <v>93500</v>
      </c>
      <c r="I424" s="203">
        <f t="shared" si="19"/>
        <v>1.0446927374301676</v>
      </c>
      <c r="J424" s="203">
        <f t="shared" si="22"/>
        <v>0.002033910575282144</v>
      </c>
    </row>
    <row r="425" spans="1:10" ht="12.75">
      <c r="A425" s="158">
        <f t="shared" si="21"/>
        <v>359</v>
      </c>
      <c r="B425" s="15"/>
      <c r="C425" s="120" t="s">
        <v>15</v>
      </c>
      <c r="D425" s="25"/>
      <c r="E425" s="46"/>
      <c r="F425" s="138"/>
      <c r="G425" s="138"/>
      <c r="H425" s="138"/>
      <c r="I425" s="203"/>
      <c r="J425" s="203"/>
    </row>
    <row r="426" spans="1:10" ht="12.75">
      <c r="A426" s="158">
        <f t="shared" si="21"/>
        <v>360</v>
      </c>
      <c r="B426" s="15"/>
      <c r="C426" s="120" t="s">
        <v>82</v>
      </c>
      <c r="D426" s="25"/>
      <c r="E426" s="46">
        <v>50000</v>
      </c>
      <c r="F426" s="138">
        <v>58000</v>
      </c>
      <c r="G426" s="138">
        <v>58000</v>
      </c>
      <c r="H426" s="138">
        <v>62000</v>
      </c>
      <c r="I426" s="203">
        <f t="shared" si="19"/>
        <v>1.0689655172413792</v>
      </c>
      <c r="J426" s="203">
        <f t="shared" si="22"/>
        <v>0.0013486893654277316</v>
      </c>
    </row>
    <row r="427" spans="1:10" ht="12.75">
      <c r="A427" s="158">
        <f t="shared" si="21"/>
        <v>361</v>
      </c>
      <c r="B427" s="15"/>
      <c r="C427" s="120" t="s">
        <v>83</v>
      </c>
      <c r="D427" s="25"/>
      <c r="E427" s="46">
        <v>26700</v>
      </c>
      <c r="F427" s="138">
        <v>30000</v>
      </c>
      <c r="G427" s="138">
        <v>30000</v>
      </c>
      <c r="H427" s="138">
        <v>30000</v>
      </c>
      <c r="I427" s="203">
        <f t="shared" si="19"/>
        <v>1</v>
      </c>
      <c r="J427" s="203">
        <f t="shared" si="22"/>
        <v>0.0006525916284327734</v>
      </c>
    </row>
    <row r="428" spans="1:10" ht="12.75">
      <c r="A428" s="158">
        <f t="shared" si="21"/>
        <v>362</v>
      </c>
      <c r="B428" s="15"/>
      <c r="C428" s="120" t="s">
        <v>84</v>
      </c>
      <c r="D428" s="25"/>
      <c r="E428" s="46">
        <v>3500</v>
      </c>
      <c r="F428" s="138">
        <v>1500</v>
      </c>
      <c r="G428" s="138">
        <v>1500</v>
      </c>
      <c r="H428" s="138">
        <v>1500</v>
      </c>
      <c r="I428" s="203">
        <f t="shared" si="19"/>
        <v>1</v>
      </c>
      <c r="J428" s="203">
        <f t="shared" si="22"/>
        <v>3.262958142163867E-05</v>
      </c>
    </row>
    <row r="429" spans="1:10" ht="12.75">
      <c r="A429" s="158">
        <f t="shared" si="21"/>
        <v>363</v>
      </c>
      <c r="B429" s="15">
        <v>4110</v>
      </c>
      <c r="C429" s="120" t="s">
        <v>32</v>
      </c>
      <c r="D429" s="25"/>
      <c r="E429" s="46">
        <v>4300</v>
      </c>
      <c r="F429" s="138">
        <v>12840</v>
      </c>
      <c r="G429" s="138">
        <v>12840</v>
      </c>
      <c r="H429" s="138">
        <f>4446+6130</f>
        <v>10576</v>
      </c>
      <c r="I429" s="203">
        <f t="shared" si="19"/>
        <v>0.8236760124610591</v>
      </c>
      <c r="J429" s="203">
        <f t="shared" si="22"/>
        <v>0.0002300603020768337</v>
      </c>
    </row>
    <row r="430" spans="1:10" ht="12.75">
      <c r="A430" s="158">
        <f t="shared" si="21"/>
        <v>364</v>
      </c>
      <c r="B430" s="15">
        <v>4120</v>
      </c>
      <c r="C430" s="120" t="s">
        <v>33</v>
      </c>
      <c r="D430" s="25"/>
      <c r="E430" s="46">
        <v>700</v>
      </c>
      <c r="F430" s="138">
        <v>4150</v>
      </c>
      <c r="G430" s="138">
        <v>4150</v>
      </c>
      <c r="H430" s="138">
        <f>3822+835</f>
        <v>4657</v>
      </c>
      <c r="I430" s="203">
        <f t="shared" si="19"/>
        <v>1.122168674698795</v>
      </c>
      <c r="J430" s="203">
        <f t="shared" si="22"/>
        <v>0.00010130397378704751</v>
      </c>
    </row>
    <row r="431" spans="1:10" ht="12.75">
      <c r="A431" s="158">
        <f t="shared" si="21"/>
        <v>365</v>
      </c>
      <c r="B431" s="15">
        <v>4170</v>
      </c>
      <c r="C431" s="120" t="s">
        <v>231</v>
      </c>
      <c r="D431" s="25"/>
      <c r="E431" s="46"/>
      <c r="F431" s="138">
        <v>6000</v>
      </c>
      <c r="G431" s="138">
        <v>0</v>
      </c>
      <c r="H431" s="138">
        <v>0</v>
      </c>
      <c r="I431" s="203"/>
      <c r="J431" s="203">
        <f t="shared" si="22"/>
        <v>0</v>
      </c>
    </row>
    <row r="432" spans="1:10" ht="12.75">
      <c r="A432" s="158">
        <f t="shared" si="21"/>
        <v>366</v>
      </c>
      <c r="B432" s="15">
        <v>4260</v>
      </c>
      <c r="C432" s="81" t="s">
        <v>198</v>
      </c>
      <c r="D432" s="25"/>
      <c r="E432" s="46"/>
      <c r="F432" s="138">
        <f>SUM(F434:F436)</f>
        <v>77500</v>
      </c>
      <c r="G432" s="138">
        <f>SUM(G434:G436)</f>
        <v>77500</v>
      </c>
      <c r="H432" s="138">
        <f>SUM(H434:H436)</f>
        <v>70500</v>
      </c>
      <c r="I432" s="203">
        <f t="shared" si="19"/>
        <v>0.9096774193548387</v>
      </c>
      <c r="J432" s="203">
        <f t="shared" si="22"/>
        <v>0.0015335903268170175</v>
      </c>
    </row>
    <row r="433" spans="1:10" ht="12.75">
      <c r="A433" s="158">
        <f t="shared" si="21"/>
        <v>367</v>
      </c>
      <c r="B433" s="15"/>
      <c r="C433" s="81" t="s">
        <v>15</v>
      </c>
      <c r="D433" s="25"/>
      <c r="E433" s="46"/>
      <c r="F433" s="138"/>
      <c r="G433" s="138"/>
      <c r="H433" s="138"/>
      <c r="I433" s="203"/>
      <c r="J433" s="203"/>
    </row>
    <row r="434" spans="1:10" ht="12.75">
      <c r="A434" s="158">
        <f t="shared" si="21"/>
        <v>368</v>
      </c>
      <c r="B434" s="15"/>
      <c r="C434" s="81" t="s">
        <v>246</v>
      </c>
      <c r="D434" s="25"/>
      <c r="E434" s="46"/>
      <c r="F434" s="138">
        <v>65000</v>
      </c>
      <c r="G434" s="138">
        <v>65000</v>
      </c>
      <c r="H434" s="138">
        <v>58000</v>
      </c>
      <c r="I434" s="203">
        <f t="shared" si="19"/>
        <v>0.8923076923076924</v>
      </c>
      <c r="J434" s="203">
        <f t="shared" si="22"/>
        <v>0.0012616771483033619</v>
      </c>
    </row>
    <row r="435" spans="1:10" ht="12.75">
      <c r="A435" s="158">
        <f t="shared" si="21"/>
        <v>369</v>
      </c>
      <c r="B435" s="15"/>
      <c r="C435" s="81" t="s">
        <v>30</v>
      </c>
      <c r="D435" s="25"/>
      <c r="E435" s="46"/>
      <c r="F435" s="138">
        <v>10000</v>
      </c>
      <c r="G435" s="138">
        <v>10000</v>
      </c>
      <c r="H435" s="138">
        <v>10000</v>
      </c>
      <c r="I435" s="203">
        <f t="shared" si="19"/>
        <v>1</v>
      </c>
      <c r="J435" s="203">
        <f t="shared" si="22"/>
        <v>0.00021753054281092445</v>
      </c>
    </row>
    <row r="436" spans="1:10" ht="12.75">
      <c r="A436" s="158">
        <f t="shared" si="21"/>
        <v>370</v>
      </c>
      <c r="B436" s="15"/>
      <c r="C436" s="81" t="s">
        <v>314</v>
      </c>
      <c r="D436" s="25"/>
      <c r="E436" s="46"/>
      <c r="F436" s="138">
        <v>2500</v>
      </c>
      <c r="G436" s="138">
        <v>2500</v>
      </c>
      <c r="H436" s="138">
        <v>2500</v>
      </c>
      <c r="I436" s="203">
        <f t="shared" si="19"/>
        <v>1</v>
      </c>
      <c r="J436" s="203">
        <f t="shared" si="22"/>
        <v>5.438263570273111E-05</v>
      </c>
    </row>
    <row r="437" spans="1:10" ht="12.75">
      <c r="A437" s="158">
        <f t="shared" si="21"/>
        <v>371</v>
      </c>
      <c r="B437" s="15">
        <v>4270</v>
      </c>
      <c r="C437" s="81" t="s">
        <v>480</v>
      </c>
      <c r="D437" s="25"/>
      <c r="E437" s="46"/>
      <c r="F437" s="138"/>
      <c r="G437" s="138"/>
      <c r="H437" s="138"/>
      <c r="I437" s="203"/>
      <c r="J437" s="203"/>
    </row>
    <row r="438" spans="1:10" ht="12.75">
      <c r="A438" s="158">
        <f t="shared" si="21"/>
        <v>372</v>
      </c>
      <c r="B438" s="15"/>
      <c r="C438" s="81" t="s">
        <v>445</v>
      </c>
      <c r="D438" s="25"/>
      <c r="E438" s="46"/>
      <c r="F438" s="138">
        <v>3000</v>
      </c>
      <c r="G438" s="138">
        <v>3000</v>
      </c>
      <c r="H438" s="138">
        <v>3000</v>
      </c>
      <c r="I438" s="203">
        <f t="shared" si="19"/>
        <v>1</v>
      </c>
      <c r="J438" s="203">
        <f t="shared" si="22"/>
        <v>6.525916284327733E-05</v>
      </c>
    </row>
    <row r="439" spans="1:10" ht="12.75">
      <c r="A439" s="158">
        <f t="shared" si="21"/>
        <v>373</v>
      </c>
      <c r="B439" s="15">
        <v>4300</v>
      </c>
      <c r="C439" s="81" t="s">
        <v>134</v>
      </c>
      <c r="D439" s="25"/>
      <c r="E439" s="46"/>
      <c r="F439" s="138">
        <f>SUM(F441:F441)</f>
        <v>3500</v>
      </c>
      <c r="G439" s="138">
        <f>SUM(G441:G441)</f>
        <v>3500</v>
      </c>
      <c r="H439" s="138">
        <f>SUM(H441:H441)</f>
        <v>4500</v>
      </c>
      <c r="I439" s="203">
        <f t="shared" si="19"/>
        <v>1.2857142857142858</v>
      </c>
      <c r="J439" s="203">
        <f t="shared" si="22"/>
        <v>9.788874426491601E-05</v>
      </c>
    </row>
    <row r="440" spans="1:10" ht="12.75">
      <c r="A440" s="158">
        <f t="shared" si="21"/>
        <v>374</v>
      </c>
      <c r="B440" s="15"/>
      <c r="C440" s="81" t="s">
        <v>15</v>
      </c>
      <c r="D440" s="25"/>
      <c r="E440" s="46"/>
      <c r="F440" s="138"/>
      <c r="G440" s="138"/>
      <c r="H440" s="138"/>
      <c r="I440" s="203"/>
      <c r="J440" s="203"/>
    </row>
    <row r="441" spans="1:10" ht="12.75">
      <c r="A441" s="158">
        <f t="shared" si="21"/>
        <v>375</v>
      </c>
      <c r="B441" s="15"/>
      <c r="C441" s="81" t="s">
        <v>227</v>
      </c>
      <c r="D441" s="25"/>
      <c r="E441" s="46"/>
      <c r="F441" s="138">
        <v>3500</v>
      </c>
      <c r="G441" s="138">
        <v>3500</v>
      </c>
      <c r="H441" s="138">
        <f>1000+1000+1300+1200</f>
        <v>4500</v>
      </c>
      <c r="I441" s="203">
        <f t="shared" si="19"/>
        <v>1.2857142857142858</v>
      </c>
      <c r="J441" s="203">
        <f t="shared" si="22"/>
        <v>9.788874426491601E-05</v>
      </c>
    </row>
    <row r="442" spans="1:10" ht="12.75">
      <c r="A442" s="158">
        <f t="shared" si="21"/>
        <v>376</v>
      </c>
      <c r="B442" s="15">
        <v>4400</v>
      </c>
      <c r="C442" s="120" t="s">
        <v>438</v>
      </c>
      <c r="D442" s="25"/>
      <c r="E442" s="46"/>
      <c r="F442" s="138"/>
      <c r="G442" s="138"/>
      <c r="H442" s="138"/>
      <c r="I442" s="203"/>
      <c r="J442" s="203"/>
    </row>
    <row r="443" spans="1:10" ht="12.75">
      <c r="A443" s="158">
        <f t="shared" si="21"/>
        <v>377</v>
      </c>
      <c r="B443" s="15"/>
      <c r="C443" s="120" t="s">
        <v>446</v>
      </c>
      <c r="D443" s="25"/>
      <c r="E443" s="46"/>
      <c r="F443" s="138"/>
      <c r="G443" s="138"/>
      <c r="H443" s="138"/>
      <c r="I443" s="203"/>
      <c r="J443" s="203"/>
    </row>
    <row r="444" spans="1:10" ht="12.75">
      <c r="A444" s="158">
        <f t="shared" si="21"/>
        <v>378</v>
      </c>
      <c r="B444" s="15"/>
      <c r="C444" s="120" t="s">
        <v>447</v>
      </c>
      <c r="D444" s="25"/>
      <c r="E444" s="46"/>
      <c r="F444" s="138">
        <v>732</v>
      </c>
      <c r="G444" s="138">
        <v>732</v>
      </c>
      <c r="H444" s="138">
        <v>732</v>
      </c>
      <c r="I444" s="203">
        <f t="shared" si="19"/>
        <v>1</v>
      </c>
      <c r="J444" s="203">
        <f t="shared" si="22"/>
        <v>1.592323573375967E-05</v>
      </c>
    </row>
    <row r="445" spans="1:10" ht="12.75">
      <c r="A445" s="158">
        <f t="shared" si="21"/>
        <v>379</v>
      </c>
      <c r="B445" s="16">
        <v>4430</v>
      </c>
      <c r="C445" s="120" t="s">
        <v>40</v>
      </c>
      <c r="D445" s="25"/>
      <c r="E445" s="52" t="e">
        <f>SUM(#REF!)</f>
        <v>#REF!</v>
      </c>
      <c r="F445" s="192"/>
      <c r="G445" s="192"/>
      <c r="H445" s="192"/>
      <c r="I445" s="203"/>
      <c r="J445" s="203"/>
    </row>
    <row r="446" spans="1:10" ht="12.75">
      <c r="A446" s="158">
        <f t="shared" si="21"/>
        <v>380</v>
      </c>
      <c r="B446" s="16"/>
      <c r="C446" s="120" t="s">
        <v>315</v>
      </c>
      <c r="D446" s="25"/>
      <c r="E446" s="46"/>
      <c r="F446" s="138">
        <v>200</v>
      </c>
      <c r="G446" s="138">
        <v>200</v>
      </c>
      <c r="H446" s="138">
        <v>200</v>
      </c>
      <c r="I446" s="203">
        <f t="shared" si="19"/>
        <v>1</v>
      </c>
      <c r="J446" s="203">
        <f t="shared" si="22"/>
        <v>4.350610856218489E-06</v>
      </c>
    </row>
    <row r="447" spans="1:10" ht="12.75">
      <c r="A447" s="158">
        <f t="shared" si="21"/>
        <v>381</v>
      </c>
      <c r="B447" s="16">
        <v>6050</v>
      </c>
      <c r="C447" s="120" t="s">
        <v>191</v>
      </c>
      <c r="D447" s="25"/>
      <c r="E447" s="46"/>
      <c r="F447" s="138"/>
      <c r="G447" s="138"/>
      <c r="H447" s="138"/>
      <c r="I447" s="203"/>
      <c r="J447" s="203"/>
    </row>
    <row r="448" spans="1:10" ht="12.75">
      <c r="A448" s="158">
        <f t="shared" si="21"/>
        <v>382</v>
      </c>
      <c r="B448" s="16"/>
      <c r="C448" s="120" t="s">
        <v>629</v>
      </c>
      <c r="D448" s="25"/>
      <c r="E448" s="46"/>
      <c r="F448" s="138"/>
      <c r="G448" s="138"/>
      <c r="H448" s="138"/>
      <c r="I448" s="203"/>
      <c r="J448" s="203"/>
    </row>
    <row r="449" spans="1:10" ht="12.75">
      <c r="A449" s="158">
        <f t="shared" si="21"/>
        <v>383</v>
      </c>
      <c r="B449" s="16"/>
      <c r="C449" s="120" t="s">
        <v>628</v>
      </c>
      <c r="D449" s="25"/>
      <c r="E449" s="46"/>
      <c r="F449" s="138">
        <v>25000</v>
      </c>
      <c r="G449" s="138">
        <v>25000</v>
      </c>
      <c r="H449" s="138">
        <v>500000</v>
      </c>
      <c r="I449" s="203">
        <f t="shared" si="19"/>
        <v>20</v>
      </c>
      <c r="J449" s="203">
        <f t="shared" si="22"/>
        <v>0.010876527140546223</v>
      </c>
    </row>
    <row r="450" spans="1:10" s="70" customFormat="1" ht="12.75">
      <c r="A450" s="158">
        <f t="shared" si="21"/>
        <v>384</v>
      </c>
      <c r="B450" s="76">
        <v>751</v>
      </c>
      <c r="C450" s="77" t="s">
        <v>128</v>
      </c>
      <c r="D450" s="58"/>
      <c r="E450" s="71"/>
      <c r="F450" s="151"/>
      <c r="G450" s="151"/>
      <c r="H450" s="151"/>
      <c r="I450" s="203"/>
      <c r="J450" s="203">
        <f t="shared" si="22"/>
        <v>0</v>
      </c>
    </row>
    <row r="451" spans="1:10" s="70" customFormat="1" ht="12.75">
      <c r="A451" s="158">
        <f t="shared" si="21"/>
        <v>385</v>
      </c>
      <c r="B451" s="77"/>
      <c r="C451" s="80" t="s">
        <v>129</v>
      </c>
      <c r="D451" s="58"/>
      <c r="E451" s="71"/>
      <c r="F451" s="151"/>
      <c r="G451" s="151"/>
      <c r="H451" s="151"/>
      <c r="I451" s="203"/>
      <c r="J451" s="203"/>
    </row>
    <row r="452" spans="1:10" s="70" customFormat="1" ht="12.75">
      <c r="A452" s="158">
        <f t="shared" si="21"/>
        <v>386</v>
      </c>
      <c r="B452" s="77"/>
      <c r="C452" s="80" t="s">
        <v>130</v>
      </c>
      <c r="D452" s="58"/>
      <c r="E452" s="59" t="e">
        <f>E454+#REF!+#REF!</f>
        <v>#REF!</v>
      </c>
      <c r="F452" s="58">
        <f>F454+F458</f>
        <v>10123.999999999998</v>
      </c>
      <c r="G452" s="58">
        <f>G454+G458</f>
        <v>10123.999999999998</v>
      </c>
      <c r="H452" s="58">
        <f>H454+H458</f>
        <v>1140</v>
      </c>
      <c r="I452" s="203">
        <f aca="true" t="shared" si="23" ref="I452:I530">H452/G452</f>
        <v>0.11260371394705652</v>
      </c>
      <c r="J452" s="203">
        <f t="shared" si="22"/>
        <v>2.4798481880445386E-05</v>
      </c>
    </row>
    <row r="453" spans="1:10" ht="12.75">
      <c r="A453" s="158">
        <f t="shared" si="21"/>
        <v>387</v>
      </c>
      <c r="B453" s="10">
        <v>75101</v>
      </c>
      <c r="C453" s="68" t="s">
        <v>131</v>
      </c>
      <c r="D453" s="25"/>
      <c r="E453" s="44"/>
      <c r="F453" s="153"/>
      <c r="G453" s="153"/>
      <c r="H453" s="153"/>
      <c r="I453" s="203"/>
      <c r="J453" s="203"/>
    </row>
    <row r="454" spans="1:10" ht="12.75">
      <c r="A454" s="158">
        <f t="shared" si="21"/>
        <v>388</v>
      </c>
      <c r="B454" s="10"/>
      <c r="C454" s="68" t="s">
        <v>132</v>
      </c>
      <c r="D454" s="25"/>
      <c r="E454" s="44">
        <f>SUM(E455:E457)</f>
        <v>176</v>
      </c>
      <c r="F454" s="26">
        <f>SUM(F455:F457)</f>
        <v>1104</v>
      </c>
      <c r="G454" s="26">
        <f>SUM(G455:G457)</f>
        <v>1104</v>
      </c>
      <c r="H454" s="26">
        <f>SUM(H455:H457)</f>
        <v>1140</v>
      </c>
      <c r="I454" s="203">
        <f t="shared" si="23"/>
        <v>1.0326086956521738</v>
      </c>
      <c r="J454" s="203">
        <f t="shared" si="22"/>
        <v>2.4798481880445386E-05</v>
      </c>
    </row>
    <row r="455" spans="1:10" ht="12.75">
      <c r="A455" s="158">
        <f t="shared" si="21"/>
        <v>389</v>
      </c>
      <c r="B455" s="4">
        <v>4110</v>
      </c>
      <c r="C455" s="79" t="s">
        <v>32</v>
      </c>
      <c r="D455" s="25"/>
      <c r="E455" s="46">
        <v>155</v>
      </c>
      <c r="F455" s="138">
        <v>159</v>
      </c>
      <c r="G455" s="138">
        <v>159</v>
      </c>
      <c r="H455" s="138">
        <v>163</v>
      </c>
      <c r="I455" s="203">
        <f t="shared" si="23"/>
        <v>1.0251572327044025</v>
      </c>
      <c r="J455" s="203">
        <f t="shared" si="22"/>
        <v>3.5457478478180685E-06</v>
      </c>
    </row>
    <row r="456" spans="1:10" ht="15" customHeight="1">
      <c r="A456" s="158">
        <f t="shared" si="21"/>
        <v>390</v>
      </c>
      <c r="B456" s="4">
        <v>4120</v>
      </c>
      <c r="C456" s="79" t="s">
        <v>33</v>
      </c>
      <c r="D456" s="25"/>
      <c r="E456" s="46">
        <v>21</v>
      </c>
      <c r="F456" s="138">
        <v>23</v>
      </c>
      <c r="G456" s="138">
        <v>23</v>
      </c>
      <c r="H456" s="138">
        <v>24</v>
      </c>
      <c r="I456" s="203">
        <f t="shared" si="23"/>
        <v>1.0434782608695652</v>
      </c>
      <c r="J456" s="203">
        <f t="shared" si="22"/>
        <v>5.220733027462186E-07</v>
      </c>
    </row>
    <row r="457" spans="1:10" ht="15" customHeight="1">
      <c r="A457" s="158">
        <f t="shared" si="21"/>
        <v>391</v>
      </c>
      <c r="B457" s="4">
        <v>4170</v>
      </c>
      <c r="C457" s="79" t="s">
        <v>231</v>
      </c>
      <c r="D457" s="25"/>
      <c r="E457" s="46"/>
      <c r="F457" s="138">
        <v>922</v>
      </c>
      <c r="G457" s="138">
        <v>922</v>
      </c>
      <c r="H457" s="138">
        <v>953</v>
      </c>
      <c r="I457" s="203">
        <f t="shared" si="23"/>
        <v>1.0336225596529285</v>
      </c>
      <c r="J457" s="203">
        <f t="shared" si="22"/>
        <v>2.07306607298811E-05</v>
      </c>
    </row>
    <row r="458" spans="1:10" ht="15" customHeight="1">
      <c r="A458" s="158">
        <f t="shared" si="21"/>
        <v>392</v>
      </c>
      <c r="B458" s="197">
        <v>75108</v>
      </c>
      <c r="C458" s="179" t="s">
        <v>572</v>
      </c>
      <c r="D458" s="25"/>
      <c r="E458" s="46"/>
      <c r="F458" s="162">
        <f>SUM(F459:F467)</f>
        <v>9019.999999999998</v>
      </c>
      <c r="G458" s="162">
        <f>SUM(G459:G467)</f>
        <v>9019.999999999998</v>
      </c>
      <c r="H458" s="162">
        <f>SUM(H459:H467)</f>
        <v>0</v>
      </c>
      <c r="I458" s="203"/>
      <c r="J458" s="203"/>
    </row>
    <row r="459" spans="1:10" ht="15" customHeight="1">
      <c r="A459" s="158">
        <f t="shared" si="21"/>
        <v>393</v>
      </c>
      <c r="B459" s="4">
        <v>3030</v>
      </c>
      <c r="C459" s="79" t="s">
        <v>673</v>
      </c>
      <c r="D459" s="79" t="s">
        <v>238</v>
      </c>
      <c r="E459" s="46"/>
      <c r="F459" s="138">
        <v>3960</v>
      </c>
      <c r="G459" s="138">
        <v>3960</v>
      </c>
      <c r="H459" s="138">
        <v>0</v>
      </c>
      <c r="I459" s="203"/>
      <c r="J459" s="203">
        <f t="shared" si="22"/>
        <v>0</v>
      </c>
    </row>
    <row r="460" spans="1:10" ht="15" customHeight="1">
      <c r="A460" s="158">
        <f t="shared" si="21"/>
        <v>394</v>
      </c>
      <c r="B460" s="4">
        <v>4110</v>
      </c>
      <c r="C460" s="79" t="s">
        <v>32</v>
      </c>
      <c r="D460" s="79" t="s">
        <v>32</v>
      </c>
      <c r="E460" s="46"/>
      <c r="F460" s="138">
        <f>204.52+123.8</f>
        <v>328.32</v>
      </c>
      <c r="G460" s="138">
        <v>328.32</v>
      </c>
      <c r="H460" s="138">
        <v>0</v>
      </c>
      <c r="I460" s="203"/>
      <c r="J460" s="203">
        <f t="shared" si="22"/>
        <v>0</v>
      </c>
    </row>
    <row r="461" spans="1:10" ht="15" customHeight="1">
      <c r="A461" s="158">
        <f t="shared" si="21"/>
        <v>395</v>
      </c>
      <c r="B461" s="4">
        <v>4120</v>
      </c>
      <c r="C461" s="79" t="s">
        <v>33</v>
      </c>
      <c r="D461" s="79" t="s">
        <v>33</v>
      </c>
      <c r="E461" s="46"/>
      <c r="F461" s="138">
        <f>29.3+17.74</f>
        <v>47.04</v>
      </c>
      <c r="G461" s="138">
        <v>47.04</v>
      </c>
      <c r="H461" s="138">
        <v>0</v>
      </c>
      <c r="I461" s="203"/>
      <c r="J461" s="203">
        <f t="shared" si="22"/>
        <v>0</v>
      </c>
    </row>
    <row r="462" spans="1:10" s="70" customFormat="1" ht="12.75">
      <c r="A462" s="158">
        <f t="shared" si="21"/>
        <v>396</v>
      </c>
      <c r="B462" s="4">
        <v>4170</v>
      </c>
      <c r="C462" s="79" t="s">
        <v>231</v>
      </c>
      <c r="D462" s="58"/>
      <c r="E462" s="71"/>
      <c r="F462" s="138">
        <f>1196+724</f>
        <v>1920</v>
      </c>
      <c r="G462" s="138">
        <v>1920</v>
      </c>
      <c r="H462" s="138">
        <v>0</v>
      </c>
      <c r="I462" s="203"/>
      <c r="J462" s="203">
        <f t="shared" si="22"/>
        <v>0</v>
      </c>
    </row>
    <row r="463" spans="1:10" s="70" customFormat="1" ht="12.75">
      <c r="A463" s="158">
        <f t="shared" si="21"/>
        <v>397</v>
      </c>
      <c r="B463" s="4">
        <v>4210</v>
      </c>
      <c r="C463" s="79" t="s">
        <v>136</v>
      </c>
      <c r="D463" s="58"/>
      <c r="E463" s="71"/>
      <c r="F463" s="138">
        <f>1900.18-773.1</f>
        <v>1127.08</v>
      </c>
      <c r="G463" s="138">
        <v>1127.08</v>
      </c>
      <c r="H463" s="138">
        <v>0</v>
      </c>
      <c r="I463" s="203"/>
      <c r="J463" s="203">
        <f t="shared" si="22"/>
        <v>0</v>
      </c>
    </row>
    <row r="464" spans="1:10" s="70" customFormat="1" ht="12.75">
      <c r="A464" s="158">
        <f t="shared" si="21"/>
        <v>398</v>
      </c>
      <c r="B464" s="4">
        <v>4300</v>
      </c>
      <c r="C464" s="79" t="s">
        <v>134</v>
      </c>
      <c r="D464" s="58"/>
      <c r="E464" s="71"/>
      <c r="F464" s="138">
        <v>1330</v>
      </c>
      <c r="G464" s="138">
        <v>1330</v>
      </c>
      <c r="H464" s="138">
        <v>0</v>
      </c>
      <c r="I464" s="203"/>
      <c r="J464" s="203">
        <f t="shared" si="22"/>
        <v>0</v>
      </c>
    </row>
    <row r="465" spans="1:10" s="70" customFormat="1" ht="12.75">
      <c r="A465" s="158">
        <f t="shared" si="21"/>
        <v>399</v>
      </c>
      <c r="B465" s="4">
        <v>4410</v>
      </c>
      <c r="C465" s="79" t="s">
        <v>29</v>
      </c>
      <c r="D465" s="58"/>
      <c r="E465" s="71"/>
      <c r="F465" s="138">
        <v>208</v>
      </c>
      <c r="G465" s="138">
        <v>208</v>
      </c>
      <c r="H465" s="138">
        <v>0</v>
      </c>
      <c r="I465" s="203"/>
      <c r="J465" s="203">
        <f t="shared" si="22"/>
        <v>0</v>
      </c>
    </row>
    <row r="466" spans="1:10" s="70" customFormat="1" ht="12.75">
      <c r="A466" s="158">
        <f t="shared" si="21"/>
        <v>400</v>
      </c>
      <c r="B466" s="15">
        <v>4740</v>
      </c>
      <c r="C466" s="120" t="s">
        <v>309</v>
      </c>
      <c r="D466" s="58"/>
      <c r="E466" s="71"/>
      <c r="F466" s="151"/>
      <c r="G466" s="151"/>
      <c r="H466" s="151"/>
      <c r="I466" s="203"/>
      <c r="J466" s="203"/>
    </row>
    <row r="467" spans="1:10" s="70" customFormat="1" ht="12.75">
      <c r="A467" s="158">
        <f t="shared" si="21"/>
        <v>401</v>
      </c>
      <c r="B467" s="15"/>
      <c r="C467" s="120" t="s">
        <v>310</v>
      </c>
      <c r="D467" s="58"/>
      <c r="E467" s="71"/>
      <c r="F467" s="138">
        <f>400-300.44</f>
        <v>99.56</v>
      </c>
      <c r="G467" s="138">
        <v>99.56</v>
      </c>
      <c r="H467" s="138">
        <v>0</v>
      </c>
      <c r="I467" s="203"/>
      <c r="J467" s="203">
        <f t="shared" si="22"/>
        <v>0</v>
      </c>
    </row>
    <row r="468" spans="1:10" s="73" customFormat="1" ht="12.75">
      <c r="A468" s="158">
        <f t="shared" si="21"/>
        <v>402</v>
      </c>
      <c r="B468" s="128">
        <v>75212</v>
      </c>
      <c r="C468" s="128" t="s">
        <v>240</v>
      </c>
      <c r="D468" s="63"/>
      <c r="E468" s="72"/>
      <c r="F468" s="148">
        <f>F469</f>
        <v>0</v>
      </c>
      <c r="G468" s="148">
        <f>G469</f>
        <v>0</v>
      </c>
      <c r="H468" s="148">
        <f>H469</f>
        <v>0</v>
      </c>
      <c r="I468" s="203"/>
      <c r="J468" s="203">
        <f aca="true" t="shared" si="24" ref="J468:J485">H468/$H$1363</f>
        <v>0</v>
      </c>
    </row>
    <row r="469" spans="1:10" ht="12.75">
      <c r="A469" s="158">
        <f t="shared" si="21"/>
        <v>403</v>
      </c>
      <c r="B469" s="15">
        <v>4300</v>
      </c>
      <c r="C469" s="120" t="s">
        <v>134</v>
      </c>
      <c r="D469" s="25"/>
      <c r="E469" s="46"/>
      <c r="F469" s="138">
        <v>0</v>
      </c>
      <c r="G469" s="138">
        <v>0</v>
      </c>
      <c r="H469" s="138">
        <v>0</v>
      </c>
      <c r="I469" s="203"/>
      <c r="J469" s="203">
        <f t="shared" si="24"/>
        <v>0</v>
      </c>
    </row>
    <row r="470" spans="1:10" s="70" customFormat="1" ht="12.75">
      <c r="A470" s="158">
        <f t="shared" si="21"/>
        <v>404</v>
      </c>
      <c r="B470" s="76">
        <v>754</v>
      </c>
      <c r="C470" s="80" t="s">
        <v>105</v>
      </c>
      <c r="D470" s="58"/>
      <c r="E470" s="71"/>
      <c r="F470" s="151"/>
      <c r="G470" s="151"/>
      <c r="H470" s="151"/>
      <c r="I470" s="203"/>
      <c r="J470" s="203"/>
    </row>
    <row r="471" spans="1:10" s="70" customFormat="1" ht="12.75">
      <c r="A471" s="158">
        <f t="shared" si="21"/>
        <v>405</v>
      </c>
      <c r="B471" s="77"/>
      <c r="C471" s="80" t="s">
        <v>106</v>
      </c>
      <c r="D471" s="58"/>
      <c r="E471" s="59" t="e">
        <f>E472+#REF!+E483+E507+E513</f>
        <v>#REF!</v>
      </c>
      <c r="F471" s="58">
        <f>F472+F483+F507+F513+F534</f>
        <v>744973</v>
      </c>
      <c r="G471" s="58">
        <f>G472+G483+G507+G513+G534</f>
        <v>691208.65</v>
      </c>
      <c r="H471" s="58">
        <f>H472+H483+H507+H513+H534</f>
        <v>996650</v>
      </c>
      <c r="I471" s="203">
        <f t="shared" si="23"/>
        <v>1.4418945711978575</v>
      </c>
      <c r="J471" s="203">
        <f t="shared" si="24"/>
        <v>0.021680181549250787</v>
      </c>
    </row>
    <row r="472" spans="1:10" s="73" customFormat="1" ht="12.75">
      <c r="A472" s="158">
        <f t="shared" si="21"/>
        <v>406</v>
      </c>
      <c r="B472" s="75">
        <v>75405</v>
      </c>
      <c r="C472" s="121" t="s">
        <v>88</v>
      </c>
      <c r="D472" s="63"/>
      <c r="E472" s="72" t="e">
        <f>#REF!</f>
        <v>#REF!</v>
      </c>
      <c r="F472" s="148">
        <f>F477+F482</f>
        <v>114290</v>
      </c>
      <c r="G472" s="148">
        <f>G477+G482</f>
        <v>100000</v>
      </c>
      <c r="H472" s="148">
        <f>H477+H482</f>
        <v>74000</v>
      </c>
      <c r="I472" s="203">
        <f t="shared" si="23"/>
        <v>0.74</v>
      </c>
      <c r="J472" s="203">
        <f t="shared" si="24"/>
        <v>0.001609726016800841</v>
      </c>
    </row>
    <row r="473" spans="1:10" s="60" customFormat="1" ht="12.75">
      <c r="A473" s="158">
        <f t="shared" si="21"/>
        <v>407</v>
      </c>
      <c r="B473" s="81">
        <v>3000</v>
      </c>
      <c r="C473" s="120" t="s">
        <v>248</v>
      </c>
      <c r="D473" s="84"/>
      <c r="E473" s="83"/>
      <c r="F473" s="144"/>
      <c r="G473" s="144"/>
      <c r="H473" s="144"/>
      <c r="I473" s="203"/>
      <c r="J473" s="203"/>
    </row>
    <row r="474" spans="1:10" s="60" customFormat="1" ht="12.75">
      <c r="A474" s="158">
        <f t="shared" si="21"/>
        <v>408</v>
      </c>
      <c r="B474" s="81"/>
      <c r="C474" s="120" t="s">
        <v>396</v>
      </c>
      <c r="D474" s="84"/>
      <c r="E474" s="83"/>
      <c r="F474" s="144"/>
      <c r="G474" s="144"/>
      <c r="H474" s="144"/>
      <c r="I474" s="203"/>
      <c r="J474" s="203"/>
    </row>
    <row r="475" spans="1:10" s="60" customFormat="1" ht="12.75">
      <c r="A475" s="158">
        <f t="shared" si="21"/>
        <v>409</v>
      </c>
      <c r="B475" s="127"/>
      <c r="C475" s="60" t="s">
        <v>448</v>
      </c>
      <c r="D475" s="84"/>
      <c r="E475" s="83"/>
      <c r="F475" s="84"/>
      <c r="G475" s="144"/>
      <c r="H475" s="144"/>
      <c r="I475" s="203"/>
      <c r="J475" s="203"/>
    </row>
    <row r="476" spans="1:10" s="60" customFormat="1" ht="12.75">
      <c r="A476" s="158">
        <f t="shared" si="21"/>
        <v>410</v>
      </c>
      <c r="B476" s="127"/>
      <c r="C476" s="60" t="s">
        <v>449</v>
      </c>
      <c r="D476" s="84"/>
      <c r="E476" s="83"/>
      <c r="F476" s="84"/>
      <c r="G476" s="144"/>
      <c r="H476" s="144"/>
      <c r="I476" s="203"/>
      <c r="J476" s="203"/>
    </row>
    <row r="477" spans="1:10" s="60" customFormat="1" ht="12.75">
      <c r="A477" s="158">
        <f aca="true" t="shared" si="25" ref="A477:A542">A476+1</f>
        <v>411</v>
      </c>
      <c r="B477" s="127"/>
      <c r="C477" s="60" t="s">
        <v>510</v>
      </c>
      <c r="D477" s="84"/>
      <c r="E477" s="83"/>
      <c r="F477" s="84">
        <v>100290</v>
      </c>
      <c r="G477" s="144">
        <v>100000</v>
      </c>
      <c r="H477" s="144">
        <f>110000-50000</f>
        <v>60000</v>
      </c>
      <c r="I477" s="203">
        <f t="shared" si="23"/>
        <v>0.6</v>
      </c>
      <c r="J477" s="203">
        <f t="shared" si="24"/>
        <v>0.0013051832568655468</v>
      </c>
    </row>
    <row r="478" spans="1:10" s="60" customFormat="1" ht="12.75">
      <c r="A478" s="158"/>
      <c r="B478" s="127"/>
      <c r="D478" s="84"/>
      <c r="E478" s="83"/>
      <c r="F478" s="144"/>
      <c r="G478" s="144"/>
      <c r="H478" s="144"/>
      <c r="I478" s="203"/>
      <c r="J478" s="203"/>
    </row>
    <row r="479" spans="1:10" s="60" customFormat="1" ht="12.75">
      <c r="A479" s="158">
        <f>A477+1</f>
        <v>412</v>
      </c>
      <c r="B479" s="81">
        <v>6620</v>
      </c>
      <c r="C479" s="79" t="s">
        <v>241</v>
      </c>
      <c r="D479" s="84"/>
      <c r="E479" s="83"/>
      <c r="F479" s="144"/>
      <c r="G479" s="144"/>
      <c r="H479" s="144"/>
      <c r="I479" s="203"/>
      <c r="J479" s="203"/>
    </row>
    <row r="480" spans="1:10" s="60" customFormat="1" ht="12.75">
      <c r="A480" s="158">
        <f t="shared" si="25"/>
        <v>413</v>
      </c>
      <c r="B480" s="81"/>
      <c r="C480" s="79" t="s">
        <v>270</v>
      </c>
      <c r="D480" s="84"/>
      <c r="E480" s="83"/>
      <c r="F480" s="144"/>
      <c r="G480" s="144"/>
      <c r="H480" s="144"/>
      <c r="I480" s="203"/>
      <c r="J480" s="203"/>
    </row>
    <row r="481" spans="1:10" s="60" customFormat="1" ht="12.75">
      <c r="A481" s="158">
        <f t="shared" si="25"/>
        <v>414</v>
      </c>
      <c r="B481" s="81"/>
      <c r="C481" s="79" t="s">
        <v>269</v>
      </c>
      <c r="D481" s="84"/>
      <c r="E481" s="83"/>
      <c r="F481" s="144"/>
      <c r="G481" s="144"/>
      <c r="H481" s="144"/>
      <c r="I481" s="203"/>
      <c r="J481" s="203"/>
    </row>
    <row r="482" spans="1:10" s="60" customFormat="1" ht="12.75">
      <c r="A482" s="158">
        <f t="shared" si="25"/>
        <v>415</v>
      </c>
      <c r="B482" s="81"/>
      <c r="C482" s="120" t="s">
        <v>511</v>
      </c>
      <c r="D482" s="84"/>
      <c r="E482" s="83"/>
      <c r="F482" s="144">
        <v>14000</v>
      </c>
      <c r="G482" s="144">
        <v>0</v>
      </c>
      <c r="H482" s="144">
        <v>14000</v>
      </c>
      <c r="I482" s="203"/>
      <c r="J482" s="203">
        <f t="shared" si="24"/>
        <v>0.00030454275993529426</v>
      </c>
    </row>
    <row r="483" spans="1:10" s="73" customFormat="1" ht="12.75">
      <c r="A483" s="158">
        <f t="shared" si="25"/>
        <v>416</v>
      </c>
      <c r="B483" s="75">
        <v>75412</v>
      </c>
      <c r="C483" s="121" t="s">
        <v>26</v>
      </c>
      <c r="D483" s="63"/>
      <c r="E483" s="64">
        <f>SUM(E484:E498)</f>
        <v>53500</v>
      </c>
      <c r="F483" s="63">
        <f>F484+F485+F486+F487+F488+F489+F490+F491+F492+F493+F494+F495+F496+F497+F498+F500+F501+F506</f>
        <v>124580</v>
      </c>
      <c r="G483" s="63">
        <f>G484+G485+G486+G487+G488+G489+G490+G491+G492+G493+G494+G495+G496+G497+G498+G500+G501+G506</f>
        <v>121105.65</v>
      </c>
      <c r="H483" s="63">
        <f>H484+H485+H486+H487+H488+H489+H490+H491+H492+H493+H494+H495+H496+H497+H498+H500+H501+H506</f>
        <v>194100</v>
      </c>
      <c r="I483" s="203">
        <f t="shared" si="23"/>
        <v>1.6027328204753453</v>
      </c>
      <c r="J483" s="203">
        <f t="shared" si="24"/>
        <v>0.004222267835960043</v>
      </c>
    </row>
    <row r="484" spans="1:10" ht="12.75">
      <c r="A484" s="158">
        <f t="shared" si="25"/>
        <v>417</v>
      </c>
      <c r="B484" s="4">
        <v>3020</v>
      </c>
      <c r="C484" s="79" t="s">
        <v>238</v>
      </c>
      <c r="D484" s="25"/>
      <c r="E484" s="46">
        <v>3500</v>
      </c>
      <c r="F484" s="138">
        <v>18262</v>
      </c>
      <c r="G484" s="138">
        <v>18262</v>
      </c>
      <c r="H484" s="138">
        <f>20000+4000</f>
        <v>24000</v>
      </c>
      <c r="I484" s="203">
        <f t="shared" si="23"/>
        <v>1.3142043587777898</v>
      </c>
      <c r="J484" s="203">
        <f t="shared" si="24"/>
        <v>0.0005220733027462187</v>
      </c>
    </row>
    <row r="485" spans="1:10" s="19" customFormat="1" ht="12.75">
      <c r="A485" s="158">
        <f t="shared" si="25"/>
        <v>418</v>
      </c>
      <c r="B485" s="14">
        <v>4010</v>
      </c>
      <c r="C485" s="79" t="s">
        <v>27</v>
      </c>
      <c r="D485" s="28"/>
      <c r="E485" s="46">
        <v>18100</v>
      </c>
      <c r="F485" s="138">
        <v>23980</v>
      </c>
      <c r="G485" s="138">
        <v>23980</v>
      </c>
      <c r="H485" s="138">
        <v>21000</v>
      </c>
      <c r="I485" s="203">
        <f t="shared" si="23"/>
        <v>0.8757297748123436</v>
      </c>
      <c r="J485" s="203">
        <f t="shared" si="24"/>
        <v>0.00045681413990294133</v>
      </c>
    </row>
    <row r="486" spans="1:10" s="19" customFormat="1" ht="12.75">
      <c r="A486" s="158">
        <f t="shared" si="25"/>
        <v>419</v>
      </c>
      <c r="B486" s="14">
        <v>4040</v>
      </c>
      <c r="C486" s="79" t="s">
        <v>28</v>
      </c>
      <c r="D486" s="28"/>
      <c r="E486" s="46">
        <v>1400</v>
      </c>
      <c r="F486" s="138">
        <v>833</v>
      </c>
      <c r="G486" s="138">
        <v>833</v>
      </c>
      <c r="H486" s="138">
        <v>1100</v>
      </c>
      <c r="I486" s="203">
        <f t="shared" si="23"/>
        <v>1.3205282112845138</v>
      </c>
      <c r="J486" s="203">
        <f aca="true" t="shared" si="26" ref="J486:J498">H486/$H$1363</f>
        <v>2.392835970920169E-05</v>
      </c>
    </row>
    <row r="487" spans="1:10" ht="12.75">
      <c r="A487" s="158">
        <f t="shared" si="25"/>
        <v>420</v>
      </c>
      <c r="B487" s="4">
        <v>4110</v>
      </c>
      <c r="C487" s="79" t="s">
        <v>32</v>
      </c>
      <c r="D487" s="25"/>
      <c r="E487" s="46">
        <v>3500</v>
      </c>
      <c r="F487" s="138">
        <v>4380</v>
      </c>
      <c r="G487" s="138">
        <v>4380</v>
      </c>
      <c r="H487" s="138">
        <v>3800</v>
      </c>
      <c r="I487" s="203">
        <f t="shared" si="23"/>
        <v>0.867579908675799</v>
      </c>
      <c r="J487" s="203">
        <f t="shared" si="26"/>
        <v>8.26616062681513E-05</v>
      </c>
    </row>
    <row r="488" spans="1:10" ht="12.75">
      <c r="A488" s="158">
        <f t="shared" si="25"/>
        <v>421</v>
      </c>
      <c r="B488" s="4">
        <v>4120</v>
      </c>
      <c r="C488" s="79" t="s">
        <v>33</v>
      </c>
      <c r="D488" s="25"/>
      <c r="E488" s="46">
        <v>500</v>
      </c>
      <c r="F488" s="138">
        <v>610</v>
      </c>
      <c r="G488" s="138">
        <v>610</v>
      </c>
      <c r="H488" s="138">
        <v>550</v>
      </c>
      <c r="I488" s="203">
        <f t="shared" si="23"/>
        <v>0.9016393442622951</v>
      </c>
      <c r="J488" s="203">
        <f t="shared" si="26"/>
        <v>1.1964179854600845E-05</v>
      </c>
    </row>
    <row r="489" spans="1:10" ht="12.75">
      <c r="A489" s="158">
        <f t="shared" si="25"/>
        <v>422</v>
      </c>
      <c r="B489" s="4">
        <v>4140</v>
      </c>
      <c r="C489" s="79" t="s">
        <v>159</v>
      </c>
      <c r="D489" s="25"/>
      <c r="E489" s="46">
        <v>200</v>
      </c>
      <c r="F489" s="138">
        <v>670</v>
      </c>
      <c r="G489" s="138">
        <v>670</v>
      </c>
      <c r="H489" s="138">
        <v>700</v>
      </c>
      <c r="I489" s="203">
        <f t="shared" si="23"/>
        <v>1.044776119402985</v>
      </c>
      <c r="J489" s="203">
        <f t="shared" si="26"/>
        <v>1.5227137996764711E-05</v>
      </c>
    </row>
    <row r="490" spans="1:10" ht="12.75">
      <c r="A490" s="158">
        <f t="shared" si="25"/>
        <v>423</v>
      </c>
      <c r="B490" s="4">
        <v>4170</v>
      </c>
      <c r="C490" s="79" t="s">
        <v>231</v>
      </c>
      <c r="D490" s="25"/>
      <c r="E490" s="46"/>
      <c r="F490" s="138">
        <v>720</v>
      </c>
      <c r="G490" s="138">
        <v>720</v>
      </c>
      <c r="H490" s="138">
        <v>0</v>
      </c>
      <c r="I490" s="203">
        <f t="shared" si="23"/>
        <v>0</v>
      </c>
      <c r="J490" s="203">
        <f t="shared" si="26"/>
        <v>0</v>
      </c>
    </row>
    <row r="491" spans="1:10" ht="12.75">
      <c r="A491" s="158">
        <f t="shared" si="25"/>
        <v>424</v>
      </c>
      <c r="B491" s="4">
        <v>4210</v>
      </c>
      <c r="C491" s="79" t="s">
        <v>136</v>
      </c>
      <c r="D491" s="25"/>
      <c r="E491" s="46">
        <v>9500</v>
      </c>
      <c r="F491" s="138">
        <f>19838+3600</f>
        <v>23438</v>
      </c>
      <c r="G491" s="138">
        <v>23438</v>
      </c>
      <c r="H491" s="138">
        <v>42700</v>
      </c>
      <c r="I491" s="203">
        <f t="shared" si="23"/>
        <v>1.8218278010069118</v>
      </c>
      <c r="J491" s="203">
        <f t="shared" si="26"/>
        <v>0.0009288554178026474</v>
      </c>
    </row>
    <row r="492" spans="1:10" ht="12.75">
      <c r="A492" s="158">
        <f t="shared" si="25"/>
        <v>425</v>
      </c>
      <c r="B492" s="4">
        <v>4260</v>
      </c>
      <c r="C492" s="79" t="s">
        <v>138</v>
      </c>
      <c r="D492" s="25"/>
      <c r="E492" s="46">
        <v>3000</v>
      </c>
      <c r="F492" s="138">
        <v>9500</v>
      </c>
      <c r="G492" s="138">
        <v>9500</v>
      </c>
      <c r="H492" s="138">
        <v>7000</v>
      </c>
      <c r="I492" s="203">
        <f t="shared" si="23"/>
        <v>0.7368421052631579</v>
      </c>
      <c r="J492" s="203">
        <f t="shared" si="26"/>
        <v>0.00015227137996764713</v>
      </c>
    </row>
    <row r="493" spans="1:10" ht="12.75">
      <c r="A493" s="158">
        <f t="shared" si="25"/>
        <v>426</v>
      </c>
      <c r="B493" s="4">
        <v>4270</v>
      </c>
      <c r="C493" s="79" t="s">
        <v>135</v>
      </c>
      <c r="D493" s="25"/>
      <c r="E493" s="46">
        <v>5000</v>
      </c>
      <c r="F493" s="138">
        <v>5000</v>
      </c>
      <c r="G493" s="138">
        <v>5000</v>
      </c>
      <c r="H493" s="138">
        <v>12000</v>
      </c>
      <c r="I493" s="203">
        <f t="shared" si="23"/>
        <v>2.4</v>
      </c>
      <c r="J493" s="203">
        <f t="shared" si="26"/>
        <v>0.00026103665137310934</v>
      </c>
    </row>
    <row r="494" spans="1:10" ht="12.75">
      <c r="A494" s="158">
        <f t="shared" si="25"/>
        <v>427</v>
      </c>
      <c r="B494" s="4">
        <v>4280</v>
      </c>
      <c r="C494" s="79" t="s">
        <v>286</v>
      </c>
      <c r="D494" s="25"/>
      <c r="E494" s="46"/>
      <c r="F494" s="138">
        <v>600</v>
      </c>
      <c r="G494" s="138">
        <v>600</v>
      </c>
      <c r="H494" s="138">
        <v>600</v>
      </c>
      <c r="I494" s="203">
        <f t="shared" si="23"/>
        <v>1</v>
      </c>
      <c r="J494" s="203">
        <f t="shared" si="26"/>
        <v>1.3051832568655468E-05</v>
      </c>
    </row>
    <row r="495" spans="1:10" ht="12.75" customHeight="1">
      <c r="A495" s="158">
        <f t="shared" si="25"/>
        <v>428</v>
      </c>
      <c r="B495" s="4">
        <v>4300</v>
      </c>
      <c r="C495" s="79" t="s">
        <v>134</v>
      </c>
      <c r="D495" s="25"/>
      <c r="E495" s="46">
        <v>4000</v>
      </c>
      <c r="F495" s="138">
        <v>3980</v>
      </c>
      <c r="G495" s="138">
        <v>3980</v>
      </c>
      <c r="H495" s="138">
        <f>2000+800+1000</f>
        <v>3800</v>
      </c>
      <c r="I495" s="203">
        <f t="shared" si="23"/>
        <v>0.9547738693467337</v>
      </c>
      <c r="J495" s="203">
        <f t="shared" si="26"/>
        <v>8.26616062681513E-05</v>
      </c>
    </row>
    <row r="496" spans="1:10" ht="12.75">
      <c r="A496" s="158">
        <f t="shared" si="25"/>
        <v>429</v>
      </c>
      <c r="B496" s="4">
        <v>4410</v>
      </c>
      <c r="C496" s="79" t="s">
        <v>29</v>
      </c>
      <c r="D496" s="25"/>
      <c r="E496" s="46">
        <v>1200</v>
      </c>
      <c r="F496" s="138">
        <v>1500</v>
      </c>
      <c r="G496" s="138">
        <v>1500</v>
      </c>
      <c r="H496" s="138">
        <v>1500</v>
      </c>
      <c r="I496" s="203">
        <f t="shared" si="23"/>
        <v>1</v>
      </c>
      <c r="J496" s="203">
        <f t="shared" si="26"/>
        <v>3.262958142163867E-05</v>
      </c>
    </row>
    <row r="497" spans="1:10" ht="12.75">
      <c r="A497" s="158">
        <f t="shared" si="25"/>
        <v>430</v>
      </c>
      <c r="B497" s="4">
        <v>4430</v>
      </c>
      <c r="C497" s="79" t="s">
        <v>31</v>
      </c>
      <c r="D497" s="25"/>
      <c r="E497" s="46">
        <v>3000</v>
      </c>
      <c r="F497" s="138">
        <v>12000</v>
      </c>
      <c r="G497" s="138">
        <v>12000</v>
      </c>
      <c r="H497" s="138">
        <v>3500</v>
      </c>
      <c r="I497" s="203">
        <f t="shared" si="23"/>
        <v>0.2916666666666667</v>
      </c>
      <c r="J497" s="203">
        <f t="shared" si="26"/>
        <v>7.613568998382356E-05</v>
      </c>
    </row>
    <row r="498" spans="1:10" ht="12.75">
      <c r="A498" s="158">
        <f t="shared" si="25"/>
        <v>431</v>
      </c>
      <c r="B498" s="4">
        <v>4440</v>
      </c>
      <c r="C498" s="79" t="s">
        <v>34</v>
      </c>
      <c r="D498" s="25"/>
      <c r="E498" s="46">
        <v>600</v>
      </c>
      <c r="F498" s="138">
        <v>805</v>
      </c>
      <c r="G498" s="138">
        <v>805</v>
      </c>
      <c r="H498" s="138">
        <v>850</v>
      </c>
      <c r="I498" s="203">
        <f t="shared" si="23"/>
        <v>1.0559006211180124</v>
      </c>
      <c r="J498" s="203">
        <f t="shared" si="26"/>
        <v>1.849009613892858E-05</v>
      </c>
    </row>
    <row r="499" spans="1:10" ht="12.75">
      <c r="A499" s="158">
        <f t="shared" si="25"/>
        <v>432</v>
      </c>
      <c r="B499" s="4">
        <v>4700</v>
      </c>
      <c r="C499" s="120" t="s">
        <v>342</v>
      </c>
      <c r="D499" s="25"/>
      <c r="E499" s="46"/>
      <c r="F499" s="138"/>
      <c r="G499" s="138"/>
      <c r="H499" s="138"/>
      <c r="I499" s="203"/>
      <c r="J499" s="203"/>
    </row>
    <row r="500" spans="1:10" ht="12.75">
      <c r="A500" s="158">
        <f t="shared" si="25"/>
        <v>433</v>
      </c>
      <c r="B500" s="4"/>
      <c r="C500" s="120" t="s">
        <v>341</v>
      </c>
      <c r="D500" s="25"/>
      <c r="E500" s="46"/>
      <c r="F500" s="138">
        <v>0</v>
      </c>
      <c r="G500" s="138">
        <v>0</v>
      </c>
      <c r="H500" s="138">
        <v>4000</v>
      </c>
      <c r="I500" s="203"/>
      <c r="J500" s="203">
        <f>H500/$H$1363</f>
        <v>8.701221712436978E-05</v>
      </c>
    </row>
    <row r="501" spans="1:10" ht="12.75">
      <c r="A501" s="158">
        <f t="shared" si="25"/>
        <v>434</v>
      </c>
      <c r="B501" s="4">
        <v>6050</v>
      </c>
      <c r="C501" s="79" t="s">
        <v>191</v>
      </c>
      <c r="D501" s="25"/>
      <c r="E501" s="46"/>
      <c r="F501" s="138">
        <f>SUM(F503:F504)</f>
        <v>13342</v>
      </c>
      <c r="G501" s="138">
        <f>SUM(G503:G504)</f>
        <v>9867.65</v>
      </c>
      <c r="H501" s="138">
        <f>SUM(H503:H504)</f>
        <v>37000</v>
      </c>
      <c r="I501" s="203"/>
      <c r="J501" s="203">
        <f>H501/$H$1363</f>
        <v>0.0008048630084004205</v>
      </c>
    </row>
    <row r="502" spans="1:10" ht="12.75">
      <c r="A502" s="158">
        <f t="shared" si="25"/>
        <v>435</v>
      </c>
      <c r="B502" s="4"/>
      <c r="C502" s="79" t="s">
        <v>15</v>
      </c>
      <c r="D502" s="25"/>
      <c r="E502" s="46"/>
      <c r="F502" s="147"/>
      <c r="G502" s="138"/>
      <c r="H502" s="138"/>
      <c r="I502" s="203"/>
      <c r="J502" s="203"/>
    </row>
    <row r="503" spans="1:10" ht="12.75">
      <c r="A503" s="158">
        <f t="shared" si="25"/>
        <v>436</v>
      </c>
      <c r="B503" s="4"/>
      <c r="C503" s="79" t="s">
        <v>659</v>
      </c>
      <c r="D503" s="25"/>
      <c r="E503" s="138">
        <v>13342</v>
      </c>
      <c r="F503" s="36">
        <v>13342</v>
      </c>
      <c r="G503" s="28">
        <v>9867.65</v>
      </c>
      <c r="H503" s="28">
        <v>0</v>
      </c>
      <c r="I503" s="203"/>
      <c r="J503" s="203">
        <f>H503/$H$1363</f>
        <v>0</v>
      </c>
    </row>
    <row r="504" spans="1:10" ht="12.75">
      <c r="A504" s="158">
        <f t="shared" si="25"/>
        <v>437</v>
      </c>
      <c r="B504" s="4"/>
      <c r="C504" s="104" t="s">
        <v>631</v>
      </c>
      <c r="D504" s="25"/>
      <c r="E504" s="46"/>
      <c r="F504" s="194">
        <v>0</v>
      </c>
      <c r="G504" s="28">
        <v>0</v>
      </c>
      <c r="H504" s="28">
        <v>37000</v>
      </c>
      <c r="I504" s="203"/>
      <c r="J504" s="203">
        <f>G504/$H$1363</f>
        <v>0</v>
      </c>
    </row>
    <row r="505" spans="1:10" ht="12.75">
      <c r="A505" s="158">
        <f t="shared" si="25"/>
        <v>438</v>
      </c>
      <c r="B505" s="4">
        <v>6060</v>
      </c>
      <c r="C505" s="79" t="s">
        <v>512</v>
      </c>
      <c r="D505" s="25"/>
      <c r="E505" s="46"/>
      <c r="F505" s="138"/>
      <c r="G505" s="138"/>
      <c r="H505" s="138"/>
      <c r="I505" s="203"/>
      <c r="J505" s="203"/>
    </row>
    <row r="506" spans="1:10" ht="12.75">
      <c r="A506" s="158">
        <f t="shared" si="25"/>
        <v>439</v>
      </c>
      <c r="B506" s="4"/>
      <c r="C506" s="79" t="s">
        <v>630</v>
      </c>
      <c r="D506" s="25"/>
      <c r="E506" s="46"/>
      <c r="F506" s="138">
        <f>8560-3600</f>
        <v>4960</v>
      </c>
      <c r="G506" s="138">
        <v>4960</v>
      </c>
      <c r="H506" s="138">
        <v>30000</v>
      </c>
      <c r="I506" s="203"/>
      <c r="J506" s="203">
        <f>H506/$H$1363</f>
        <v>0.0006525916284327734</v>
      </c>
    </row>
    <row r="507" spans="1:10" s="73" customFormat="1" ht="12.75">
      <c r="A507" s="158">
        <f t="shared" si="25"/>
        <v>440</v>
      </c>
      <c r="B507" s="75">
        <v>75414</v>
      </c>
      <c r="C507" s="121" t="s">
        <v>107</v>
      </c>
      <c r="D507" s="63"/>
      <c r="E507" s="64">
        <f>SUM(E508:E510)</f>
        <v>3000</v>
      </c>
      <c r="F507" s="63">
        <f>SUM(F508:F512)</f>
        <v>65598</v>
      </c>
      <c r="G507" s="63">
        <f>SUM(G508:G512)</f>
        <v>65598</v>
      </c>
      <c r="H507" s="63">
        <f>SUM(H508:H512)</f>
        <v>3850</v>
      </c>
      <c r="I507" s="203">
        <f t="shared" si="23"/>
        <v>0.058690813744321474</v>
      </c>
      <c r="J507" s="203">
        <f>H507/$H$1363</f>
        <v>8.374925898220592E-05</v>
      </c>
    </row>
    <row r="508" spans="1:10" s="41" customFormat="1" ht="14.25">
      <c r="A508" s="158">
        <f t="shared" si="25"/>
        <v>441</v>
      </c>
      <c r="B508" s="15">
        <v>4210</v>
      </c>
      <c r="C508" s="120" t="s">
        <v>136</v>
      </c>
      <c r="D508" s="25"/>
      <c r="E508" s="46">
        <v>1000</v>
      </c>
      <c r="F508" s="138">
        <v>1400</v>
      </c>
      <c r="G508" s="138">
        <v>1400</v>
      </c>
      <c r="H508" s="138">
        <f>400+400+1200</f>
        <v>2000</v>
      </c>
      <c r="I508" s="203">
        <f t="shared" si="23"/>
        <v>1.4285714285714286</v>
      </c>
      <c r="J508" s="203">
        <f>H508/$H$1363</f>
        <v>4.350610856218489E-05</v>
      </c>
    </row>
    <row r="509" spans="1:10" s="41" customFormat="1" ht="14.25">
      <c r="A509" s="158">
        <f t="shared" si="25"/>
        <v>442</v>
      </c>
      <c r="B509" s="15">
        <v>4260</v>
      </c>
      <c r="C509" s="120" t="s">
        <v>138</v>
      </c>
      <c r="D509" s="25"/>
      <c r="E509" s="46"/>
      <c r="F509" s="138">
        <v>350</v>
      </c>
      <c r="G509" s="138">
        <v>350</v>
      </c>
      <c r="H509" s="138">
        <v>350</v>
      </c>
      <c r="I509" s="203">
        <f t="shared" si="23"/>
        <v>1</v>
      </c>
      <c r="J509" s="203">
        <f>H509/$H$1363</f>
        <v>7.6135689983823556E-06</v>
      </c>
    </row>
    <row r="510" spans="1:10" s="41" customFormat="1" ht="14.25">
      <c r="A510" s="158">
        <f t="shared" si="25"/>
        <v>443</v>
      </c>
      <c r="B510" s="15">
        <v>4300</v>
      </c>
      <c r="C510" s="123" t="s">
        <v>134</v>
      </c>
      <c r="D510" s="25"/>
      <c r="E510" s="46">
        <f>3000-1000</f>
        <v>2000</v>
      </c>
      <c r="F510" s="138">
        <v>1750</v>
      </c>
      <c r="G510" s="138">
        <v>1750</v>
      </c>
      <c r="H510" s="138">
        <v>1500</v>
      </c>
      <c r="I510" s="203">
        <f t="shared" si="23"/>
        <v>0.8571428571428571</v>
      </c>
      <c r="J510" s="203">
        <f>H510/$H$1363</f>
        <v>3.262958142163867E-05</v>
      </c>
    </row>
    <row r="511" spans="1:10" s="41" customFormat="1" ht="14.25">
      <c r="A511" s="158">
        <f t="shared" si="25"/>
        <v>444</v>
      </c>
      <c r="B511" s="15">
        <v>6050</v>
      </c>
      <c r="C511" s="79" t="s">
        <v>191</v>
      </c>
      <c r="D511" s="25"/>
      <c r="E511" s="46"/>
      <c r="F511" s="138"/>
      <c r="G511" s="138"/>
      <c r="H511" s="138"/>
      <c r="I511" s="203"/>
      <c r="J511" s="203"/>
    </row>
    <row r="512" spans="1:10" s="41" customFormat="1" ht="14.25">
      <c r="A512" s="158">
        <f t="shared" si="25"/>
        <v>445</v>
      </c>
      <c r="B512" s="15"/>
      <c r="C512" s="81" t="s">
        <v>513</v>
      </c>
      <c r="D512" s="25"/>
      <c r="E512" s="46"/>
      <c r="F512" s="138">
        <v>62098</v>
      </c>
      <c r="G512" s="138">
        <v>62098</v>
      </c>
      <c r="H512" s="138">
        <v>0</v>
      </c>
      <c r="I512" s="203"/>
      <c r="J512" s="203">
        <f>H512/$H$1363</f>
        <v>0</v>
      </c>
    </row>
    <row r="513" spans="1:10" s="73" customFormat="1" ht="12.75">
      <c r="A513" s="158">
        <f t="shared" si="25"/>
        <v>446</v>
      </c>
      <c r="B513" s="75">
        <v>75416</v>
      </c>
      <c r="C513" s="121" t="s">
        <v>87</v>
      </c>
      <c r="D513" s="63"/>
      <c r="E513" s="64" t="e">
        <f>SUM(E514+E516+E517+E518+E519+E520+E521+E527+E528+E529+E530)</f>
        <v>#REF!</v>
      </c>
      <c r="F513" s="63">
        <f>F515+F516+F517+F518+F519+F520+F521+F525+F526+F527+F528+F529+F530+F532+F533</f>
        <v>402505</v>
      </c>
      <c r="G513" s="63">
        <f>G515+G516+G517+G518+G519+G520+G521+G525+G526+G527+G528+G529+G530+G532+G533</f>
        <v>401505</v>
      </c>
      <c r="H513" s="63">
        <f>H515+H516+H517+H518+H519+H520+H521+H525+H526+H527+H528+H529+H530+H532+H533</f>
        <v>421700</v>
      </c>
      <c r="I513" s="203">
        <f t="shared" si="23"/>
        <v>1.0502982528237506</v>
      </c>
      <c r="J513" s="203">
        <f>H513/$H$1363</f>
        <v>0.009173262990336684</v>
      </c>
    </row>
    <row r="514" spans="1:10" ht="12.75">
      <c r="A514" s="158">
        <f t="shared" si="25"/>
        <v>447</v>
      </c>
      <c r="B514" s="15">
        <v>3020</v>
      </c>
      <c r="C514" s="79" t="s">
        <v>238</v>
      </c>
      <c r="D514" s="25"/>
      <c r="E514" s="45" t="e">
        <f>SUM(#REF!)</f>
        <v>#REF!</v>
      </c>
      <c r="F514" s="138"/>
      <c r="G514" s="138"/>
      <c r="H514" s="138"/>
      <c r="I514" s="203"/>
      <c r="J514" s="203"/>
    </row>
    <row r="515" spans="1:10" ht="12.75">
      <c r="A515" s="158">
        <f t="shared" si="25"/>
        <v>448</v>
      </c>
      <c r="B515" s="15"/>
      <c r="C515" s="79" t="s">
        <v>450</v>
      </c>
      <c r="D515" s="25"/>
      <c r="E515" s="46"/>
      <c r="F515" s="138">
        <v>9500</v>
      </c>
      <c r="G515" s="138">
        <v>9500</v>
      </c>
      <c r="H515" s="138">
        <v>15000</v>
      </c>
      <c r="I515" s="203">
        <f t="shared" si="23"/>
        <v>1.5789473684210527</v>
      </c>
      <c r="J515" s="203">
        <f aca="true" t="shared" si="27" ref="J515:J521">H515/$H$1363</f>
        <v>0.0003262958142163867</v>
      </c>
    </row>
    <row r="516" spans="1:10" ht="12.75">
      <c r="A516" s="158">
        <f t="shared" si="25"/>
        <v>449</v>
      </c>
      <c r="B516" s="15">
        <v>4010</v>
      </c>
      <c r="C516" s="120" t="s">
        <v>27</v>
      </c>
      <c r="D516" s="25"/>
      <c r="E516" s="46">
        <v>195000</v>
      </c>
      <c r="F516" s="138">
        <v>272700</v>
      </c>
      <c r="G516" s="138">
        <v>272700</v>
      </c>
      <c r="H516" s="138">
        <v>271000</v>
      </c>
      <c r="I516" s="203">
        <f t="shared" si="23"/>
        <v>0.9937660432709937</v>
      </c>
      <c r="J516" s="203">
        <f t="shared" si="27"/>
        <v>0.005895077710176053</v>
      </c>
    </row>
    <row r="517" spans="1:10" ht="12.75">
      <c r="A517" s="158">
        <f t="shared" si="25"/>
        <v>450</v>
      </c>
      <c r="B517" s="15">
        <v>4040</v>
      </c>
      <c r="C517" s="120" t="s">
        <v>28</v>
      </c>
      <c r="D517" s="25"/>
      <c r="E517" s="46">
        <v>15000</v>
      </c>
      <c r="F517" s="138">
        <v>17330</v>
      </c>
      <c r="G517" s="138">
        <v>17330</v>
      </c>
      <c r="H517" s="138">
        <v>21000</v>
      </c>
      <c r="I517" s="203">
        <f t="shared" si="23"/>
        <v>1.2117714945181766</v>
      </c>
      <c r="J517" s="203">
        <f t="shared" si="27"/>
        <v>0.00045681413990294133</v>
      </c>
    </row>
    <row r="518" spans="1:10" ht="12.75">
      <c r="A518" s="158">
        <f t="shared" si="25"/>
        <v>451</v>
      </c>
      <c r="B518" s="15">
        <v>4110</v>
      </c>
      <c r="C518" s="120" t="s">
        <v>674</v>
      </c>
      <c r="D518" s="25"/>
      <c r="E518" s="45">
        <v>37100</v>
      </c>
      <c r="F518" s="138">
        <v>49300</v>
      </c>
      <c r="G518" s="138">
        <v>49300</v>
      </c>
      <c r="H518" s="138">
        <v>50000</v>
      </c>
      <c r="I518" s="203">
        <f t="shared" si="23"/>
        <v>1.0141987829614605</v>
      </c>
      <c r="J518" s="203">
        <f t="shared" si="27"/>
        <v>0.0010876527140546222</v>
      </c>
    </row>
    <row r="519" spans="1:10" ht="12.75" customHeight="1">
      <c r="A519" s="158">
        <f t="shared" si="25"/>
        <v>452</v>
      </c>
      <c r="B519" s="15">
        <v>4120</v>
      </c>
      <c r="C519" s="120" t="s">
        <v>33</v>
      </c>
      <c r="D519" s="25"/>
      <c r="E519" s="45">
        <v>5100</v>
      </c>
      <c r="F519" s="138">
        <v>7050</v>
      </c>
      <c r="G519" s="138">
        <v>7050</v>
      </c>
      <c r="H519" s="138">
        <v>7200</v>
      </c>
      <c r="I519" s="203">
        <f t="shared" si="23"/>
        <v>1.0212765957446808</v>
      </c>
      <c r="J519" s="203">
        <f t="shared" si="27"/>
        <v>0.0001566219908238656</v>
      </c>
    </row>
    <row r="520" spans="1:10" ht="12.75" customHeight="1">
      <c r="A520" s="158">
        <f t="shared" si="25"/>
        <v>453</v>
      </c>
      <c r="B520" s="15">
        <v>4140</v>
      </c>
      <c r="C520" s="120" t="s">
        <v>159</v>
      </c>
      <c r="D520" s="25"/>
      <c r="E520" s="45">
        <v>1200</v>
      </c>
      <c r="F520" s="138">
        <v>4300</v>
      </c>
      <c r="G520" s="138">
        <v>4300</v>
      </c>
      <c r="H520" s="138">
        <v>5000</v>
      </c>
      <c r="I520" s="203">
        <f t="shared" si="23"/>
        <v>1.1627906976744187</v>
      </c>
      <c r="J520" s="203">
        <f t="shared" si="27"/>
        <v>0.00010876527140546222</v>
      </c>
    </row>
    <row r="521" spans="1:10" ht="12.75">
      <c r="A521" s="158">
        <f t="shared" si="25"/>
        <v>454</v>
      </c>
      <c r="B521" s="15">
        <v>4210</v>
      </c>
      <c r="C521" s="120" t="s">
        <v>136</v>
      </c>
      <c r="D521" s="25"/>
      <c r="E521" s="51">
        <f>SUM(E523:E524)</f>
        <v>7000</v>
      </c>
      <c r="F521" s="149">
        <f>SUM(F523:F524)</f>
        <v>7645</v>
      </c>
      <c r="G521" s="149">
        <f>SUM(G523:G524)</f>
        <v>7645</v>
      </c>
      <c r="H521" s="149">
        <f>SUM(H523:H524)</f>
        <v>16000</v>
      </c>
      <c r="I521" s="203">
        <f t="shared" si="23"/>
        <v>2.092871157619359</v>
      </c>
      <c r="J521" s="203">
        <f t="shared" si="27"/>
        <v>0.0003480488684974791</v>
      </c>
    </row>
    <row r="522" spans="1:10" ht="12.75">
      <c r="A522" s="158">
        <f t="shared" si="25"/>
        <v>455</v>
      </c>
      <c r="B522" s="15"/>
      <c r="C522" s="120" t="s">
        <v>15</v>
      </c>
      <c r="D522" s="25"/>
      <c r="E522" s="45"/>
      <c r="F522" s="138"/>
      <c r="G522" s="138"/>
      <c r="H522" s="138"/>
      <c r="I522" s="203"/>
      <c r="J522" s="203"/>
    </row>
    <row r="523" spans="1:10" ht="12.75">
      <c r="A523" s="158">
        <f t="shared" si="25"/>
        <v>456</v>
      </c>
      <c r="B523" s="15"/>
      <c r="C523" s="120" t="s">
        <v>86</v>
      </c>
      <c r="D523" s="25"/>
      <c r="E523" s="46">
        <v>6000</v>
      </c>
      <c r="F523" s="138">
        <v>5850</v>
      </c>
      <c r="G523" s="138">
        <v>5850</v>
      </c>
      <c r="H523" s="138">
        <v>10000</v>
      </c>
      <c r="I523" s="203">
        <f t="shared" si="23"/>
        <v>1.7094017094017093</v>
      </c>
      <c r="J523" s="203">
        <f aca="true" t="shared" si="28" ref="J523:J530">H523/$H$1363</f>
        <v>0.00021753054281092445</v>
      </c>
    </row>
    <row r="524" spans="1:10" ht="12.75">
      <c r="A524" s="158">
        <f t="shared" si="25"/>
        <v>457</v>
      </c>
      <c r="B524" s="15"/>
      <c r="C524" s="120" t="s">
        <v>451</v>
      </c>
      <c r="D524" s="25"/>
      <c r="E524" s="46">
        <v>1000</v>
      </c>
      <c r="F524" s="138">
        <v>1795</v>
      </c>
      <c r="G524" s="138">
        <v>1795</v>
      </c>
      <c r="H524" s="138">
        <v>6000</v>
      </c>
      <c r="I524" s="203">
        <f t="shared" si="23"/>
        <v>3.3426183844011144</v>
      </c>
      <c r="J524" s="203">
        <f t="shared" si="28"/>
        <v>0.00013051832568655467</v>
      </c>
    </row>
    <row r="525" spans="1:10" ht="12.75">
      <c r="A525" s="158">
        <f t="shared" si="25"/>
        <v>458</v>
      </c>
      <c r="B525" s="15">
        <v>4270</v>
      </c>
      <c r="C525" s="120" t="s">
        <v>135</v>
      </c>
      <c r="D525" s="25"/>
      <c r="E525" s="46"/>
      <c r="F525" s="138">
        <v>4200</v>
      </c>
      <c r="G525" s="138">
        <v>4200</v>
      </c>
      <c r="H525" s="138">
        <v>4000</v>
      </c>
      <c r="I525" s="203">
        <f t="shared" si="23"/>
        <v>0.9523809523809523</v>
      </c>
      <c r="J525" s="203">
        <f t="shared" si="28"/>
        <v>8.701221712436978E-05</v>
      </c>
    </row>
    <row r="526" spans="1:10" ht="12.75">
      <c r="A526" s="158">
        <f t="shared" si="25"/>
        <v>459</v>
      </c>
      <c r="B526" s="15">
        <v>4280</v>
      </c>
      <c r="C526" s="120" t="s">
        <v>286</v>
      </c>
      <c r="D526" s="25"/>
      <c r="E526" s="46"/>
      <c r="F526" s="138">
        <v>2450</v>
      </c>
      <c r="G526" s="138">
        <v>2450</v>
      </c>
      <c r="H526" s="138">
        <v>1000</v>
      </c>
      <c r="I526" s="203">
        <f t="shared" si="23"/>
        <v>0.40816326530612246</v>
      </c>
      <c r="J526" s="203">
        <f t="shared" si="28"/>
        <v>2.1753054281092445E-05</v>
      </c>
    </row>
    <row r="527" spans="1:10" ht="12.75">
      <c r="A527" s="158">
        <f t="shared" si="25"/>
        <v>460</v>
      </c>
      <c r="B527" s="15">
        <v>4300</v>
      </c>
      <c r="C527" s="120" t="s">
        <v>134</v>
      </c>
      <c r="D527" s="25"/>
      <c r="E527" s="46">
        <v>9000</v>
      </c>
      <c r="F527" s="138">
        <v>2800</v>
      </c>
      <c r="G527" s="138">
        <v>2800</v>
      </c>
      <c r="H527" s="138">
        <v>4000</v>
      </c>
      <c r="I527" s="203">
        <f t="shared" si="23"/>
        <v>1.4285714285714286</v>
      </c>
      <c r="J527" s="203">
        <f t="shared" si="28"/>
        <v>8.701221712436978E-05</v>
      </c>
    </row>
    <row r="528" spans="1:10" ht="12.75">
      <c r="A528" s="158">
        <f t="shared" si="25"/>
        <v>461</v>
      </c>
      <c r="B528" s="15">
        <v>4410</v>
      </c>
      <c r="C528" s="120" t="s">
        <v>29</v>
      </c>
      <c r="D528" s="25"/>
      <c r="E528" s="51">
        <v>400</v>
      </c>
      <c r="F528" s="152">
        <v>3000</v>
      </c>
      <c r="G528" s="152">
        <v>3000</v>
      </c>
      <c r="H528" s="152">
        <v>4000</v>
      </c>
      <c r="I528" s="203">
        <f t="shared" si="23"/>
        <v>1.3333333333333333</v>
      </c>
      <c r="J528" s="203">
        <f t="shared" si="28"/>
        <v>8.701221712436978E-05</v>
      </c>
    </row>
    <row r="529" spans="1:10" ht="12.75">
      <c r="A529" s="158">
        <f t="shared" si="25"/>
        <v>462</v>
      </c>
      <c r="B529" s="15">
        <v>4430</v>
      </c>
      <c r="C529" s="120" t="s">
        <v>40</v>
      </c>
      <c r="D529" s="25"/>
      <c r="E529" s="46">
        <v>3500</v>
      </c>
      <c r="F529" s="138">
        <v>6000</v>
      </c>
      <c r="G529" s="138">
        <v>6000</v>
      </c>
      <c r="H529" s="138">
        <v>8000</v>
      </c>
      <c r="I529" s="203">
        <f t="shared" si="23"/>
        <v>1.3333333333333333</v>
      </c>
      <c r="J529" s="203">
        <f t="shared" si="28"/>
        <v>0.00017402443424873956</v>
      </c>
    </row>
    <row r="530" spans="1:10" ht="12.75">
      <c r="A530" s="158">
        <f t="shared" si="25"/>
        <v>463</v>
      </c>
      <c r="B530" s="15">
        <v>4440</v>
      </c>
      <c r="C530" s="120" t="s">
        <v>679</v>
      </c>
      <c r="D530" s="25"/>
      <c r="E530" s="46">
        <v>2900</v>
      </c>
      <c r="F530" s="138">
        <v>5230</v>
      </c>
      <c r="G530" s="138">
        <v>5230</v>
      </c>
      <c r="H530" s="138">
        <v>5500</v>
      </c>
      <c r="I530" s="203">
        <f t="shared" si="23"/>
        <v>1.0516252390057361</v>
      </c>
      <c r="J530" s="203">
        <f t="shared" si="28"/>
        <v>0.00011964179854600845</v>
      </c>
    </row>
    <row r="531" spans="1:10" ht="12.75">
      <c r="A531" s="158">
        <f t="shared" si="25"/>
        <v>464</v>
      </c>
      <c r="B531" s="15">
        <v>4700</v>
      </c>
      <c r="C531" s="120" t="s">
        <v>342</v>
      </c>
      <c r="D531" s="25"/>
      <c r="E531" s="46"/>
      <c r="F531" s="138"/>
      <c r="G531" s="138"/>
      <c r="H531" s="138"/>
      <c r="I531" s="203"/>
      <c r="J531" s="203"/>
    </row>
    <row r="532" spans="1:10" ht="12.75">
      <c r="A532" s="158">
        <f t="shared" si="25"/>
        <v>465</v>
      </c>
      <c r="B532" s="15"/>
      <c r="C532" s="120" t="s">
        <v>341</v>
      </c>
      <c r="D532" s="25"/>
      <c r="E532" s="46"/>
      <c r="F532" s="138">
        <v>6000</v>
      </c>
      <c r="G532" s="138">
        <v>6000</v>
      </c>
      <c r="H532" s="138">
        <v>4000</v>
      </c>
      <c r="I532" s="203">
        <f>H532/G532</f>
        <v>0.6666666666666666</v>
      </c>
      <c r="J532" s="203">
        <f>H532/$H$1363</f>
        <v>8.701221712436978E-05</v>
      </c>
    </row>
    <row r="533" spans="1:10" ht="12.75">
      <c r="A533" s="158">
        <f t="shared" si="25"/>
        <v>466</v>
      </c>
      <c r="B533" s="15">
        <v>6060</v>
      </c>
      <c r="C533" s="120" t="s">
        <v>155</v>
      </c>
      <c r="D533" s="25"/>
      <c r="E533" s="46"/>
      <c r="F533" s="138">
        <v>5000</v>
      </c>
      <c r="G533" s="138">
        <v>4000</v>
      </c>
      <c r="H533" s="138">
        <v>6000</v>
      </c>
      <c r="I533" s="203">
        <f>H533/G533</f>
        <v>1.5</v>
      </c>
      <c r="J533" s="203">
        <f>H533/$H$1363</f>
        <v>0.00013051832568655467</v>
      </c>
    </row>
    <row r="534" spans="1:10" ht="12.75">
      <c r="A534" s="158">
        <f t="shared" si="25"/>
        <v>467</v>
      </c>
      <c r="B534" s="159">
        <v>75495</v>
      </c>
      <c r="C534" s="160" t="s">
        <v>25</v>
      </c>
      <c r="D534" s="157"/>
      <c r="E534" s="161"/>
      <c r="F534" s="162">
        <f>SUM(F536:F542)</f>
        <v>38000</v>
      </c>
      <c r="G534" s="162">
        <f>SUM(G536:G542)</f>
        <v>3000</v>
      </c>
      <c r="H534" s="162">
        <f>SUM(H536:H542)</f>
        <v>303000</v>
      </c>
      <c r="I534" s="203"/>
      <c r="J534" s="203">
        <f>H534/$H$1363</f>
        <v>0.006591175447171011</v>
      </c>
    </row>
    <row r="535" spans="1:10" s="213" customFormat="1" ht="12.75">
      <c r="A535" s="158">
        <f t="shared" si="25"/>
        <v>468</v>
      </c>
      <c r="B535" s="211">
        <v>2310</v>
      </c>
      <c r="C535" s="212" t="s">
        <v>514</v>
      </c>
      <c r="D535" s="145"/>
      <c r="E535" s="185"/>
      <c r="F535" s="186"/>
      <c r="G535" s="186"/>
      <c r="H535" s="186"/>
      <c r="I535" s="203"/>
      <c r="J535" s="203"/>
    </row>
    <row r="536" spans="1:10" s="213" customFormat="1" ht="12.75">
      <c r="A536" s="158">
        <f t="shared" si="25"/>
        <v>469</v>
      </c>
      <c r="B536" s="211"/>
      <c r="C536" s="212" t="s">
        <v>515</v>
      </c>
      <c r="D536" s="145"/>
      <c r="E536" s="185"/>
      <c r="F536" s="186">
        <v>3000</v>
      </c>
      <c r="G536" s="186">
        <v>3000</v>
      </c>
      <c r="H536" s="186">
        <v>0</v>
      </c>
      <c r="I536" s="203"/>
      <c r="J536" s="203">
        <f>H536/$H$1363</f>
        <v>0</v>
      </c>
    </row>
    <row r="537" spans="1:10" ht="12.75">
      <c r="A537" s="158">
        <f t="shared" si="25"/>
        <v>470</v>
      </c>
      <c r="B537" s="15">
        <v>4260</v>
      </c>
      <c r="C537" s="120" t="s">
        <v>316</v>
      </c>
      <c r="D537" s="25"/>
      <c r="E537" s="46"/>
      <c r="F537" s="138">
        <v>3000</v>
      </c>
      <c r="G537" s="138">
        <v>0</v>
      </c>
      <c r="H537" s="138">
        <v>3000</v>
      </c>
      <c r="I537" s="203"/>
      <c r="J537" s="203">
        <f>H537/$H$1363</f>
        <v>6.525916284327733E-05</v>
      </c>
    </row>
    <row r="538" spans="1:10" ht="12.75">
      <c r="A538" s="158"/>
      <c r="B538" s="15"/>
      <c r="C538" s="120"/>
      <c r="D538" s="25"/>
      <c r="E538" s="46"/>
      <c r="F538" s="138"/>
      <c r="G538" s="138"/>
      <c r="H538" s="138"/>
      <c r="I538" s="203"/>
      <c r="J538" s="203"/>
    </row>
    <row r="539" spans="1:10" ht="12.75">
      <c r="A539" s="158">
        <f>A537+1</f>
        <v>471</v>
      </c>
      <c r="B539" s="15">
        <v>6050</v>
      </c>
      <c r="C539" s="79" t="s">
        <v>191</v>
      </c>
      <c r="D539" s="25"/>
      <c r="E539" s="46"/>
      <c r="F539" s="138"/>
      <c r="G539" s="138"/>
      <c r="H539" s="138"/>
      <c r="I539" s="203"/>
      <c r="J539" s="203"/>
    </row>
    <row r="540" spans="1:10" ht="12.75">
      <c r="A540" s="158">
        <f t="shared" si="25"/>
        <v>472</v>
      </c>
      <c r="B540" s="15"/>
      <c r="C540" s="120" t="s">
        <v>452</v>
      </c>
      <c r="D540" s="25"/>
      <c r="E540" s="46"/>
      <c r="F540" s="138"/>
      <c r="G540" s="138"/>
      <c r="H540" s="138"/>
      <c r="I540" s="203"/>
      <c r="J540" s="203"/>
    </row>
    <row r="541" spans="1:10" ht="12.75">
      <c r="A541" s="158">
        <f t="shared" si="25"/>
        <v>473</v>
      </c>
      <c r="B541" s="15"/>
      <c r="C541" s="120" t="s">
        <v>453</v>
      </c>
      <c r="D541" s="25"/>
      <c r="E541" s="46"/>
      <c r="F541" s="138"/>
      <c r="G541" s="138"/>
      <c r="H541" s="138"/>
      <c r="I541" s="203"/>
      <c r="J541" s="203"/>
    </row>
    <row r="542" spans="1:10" ht="12.75">
      <c r="A542" s="158">
        <f t="shared" si="25"/>
        <v>474</v>
      </c>
      <c r="B542" s="15"/>
      <c r="C542" s="120" t="s">
        <v>454</v>
      </c>
      <c r="D542" s="25"/>
      <c r="E542" s="46"/>
      <c r="F542" s="138">
        <v>32000</v>
      </c>
      <c r="G542" s="138">
        <v>0</v>
      </c>
      <c r="H542" s="138">
        <v>300000</v>
      </c>
      <c r="I542" s="203"/>
      <c r="J542" s="203">
        <f>H542/$H$1363</f>
        <v>0.006525916284327734</v>
      </c>
    </row>
    <row r="543" spans="1:10" s="70" customFormat="1" ht="12.75">
      <c r="A543" s="158">
        <f aca="true" t="shared" si="29" ref="A543:A606">A542+1</f>
        <v>475</v>
      </c>
      <c r="B543" s="76">
        <v>757</v>
      </c>
      <c r="C543" s="80" t="s">
        <v>108</v>
      </c>
      <c r="D543" s="58"/>
      <c r="E543" s="59" t="e">
        <f>E545</f>
        <v>#REF!</v>
      </c>
      <c r="F543" s="58">
        <f>F545</f>
        <v>251968.34</v>
      </c>
      <c r="G543" s="58">
        <f>G545</f>
        <v>215556.98</v>
      </c>
      <c r="H543" s="58">
        <f>H545</f>
        <v>238000</v>
      </c>
      <c r="I543" s="203">
        <f>H543/G543</f>
        <v>1.1041164150657519</v>
      </c>
      <c r="J543" s="203">
        <f>H543/$H$1363</f>
        <v>0.005177226918900002</v>
      </c>
    </row>
    <row r="544" spans="1:10" s="73" customFormat="1" ht="12.75">
      <c r="A544" s="158">
        <f t="shared" si="29"/>
        <v>476</v>
      </c>
      <c r="B544" s="75">
        <v>75702</v>
      </c>
      <c r="C544" s="121" t="s">
        <v>109</v>
      </c>
      <c r="D544" s="63"/>
      <c r="E544" s="72"/>
      <c r="F544" s="148"/>
      <c r="G544" s="148"/>
      <c r="H544" s="148"/>
      <c r="I544" s="203"/>
      <c r="J544" s="203"/>
    </row>
    <row r="545" spans="1:10" s="70" customFormat="1" ht="12.75">
      <c r="A545" s="158">
        <f t="shared" si="29"/>
        <v>477</v>
      </c>
      <c r="B545" s="76"/>
      <c r="C545" s="121" t="s">
        <v>110</v>
      </c>
      <c r="D545" s="58"/>
      <c r="E545" s="64" t="e">
        <f>#REF!+E549</f>
        <v>#REF!</v>
      </c>
      <c r="F545" s="63">
        <f>+F547+F549</f>
        <v>251968.34</v>
      </c>
      <c r="G545" s="63">
        <f>+G547+G549</f>
        <v>215556.98</v>
      </c>
      <c r="H545" s="63">
        <f>+H547+H549</f>
        <v>238000</v>
      </c>
      <c r="I545" s="203">
        <f>H545/G545</f>
        <v>1.1041164150657519</v>
      </c>
      <c r="J545" s="203">
        <f>H545/$H$1363</f>
        <v>0.005177226918900002</v>
      </c>
    </row>
    <row r="546" spans="1:10" ht="12.75">
      <c r="A546" s="158">
        <f t="shared" si="29"/>
        <v>478</v>
      </c>
      <c r="B546" s="4">
        <v>8010</v>
      </c>
      <c r="C546" s="79" t="s">
        <v>455</v>
      </c>
      <c r="D546" s="25"/>
      <c r="E546" s="47"/>
      <c r="F546" s="150"/>
      <c r="G546" s="150"/>
      <c r="H546" s="150"/>
      <c r="I546" s="203"/>
      <c r="J546" s="203"/>
    </row>
    <row r="547" spans="1:10" ht="12.75">
      <c r="A547" s="158">
        <f t="shared" si="29"/>
        <v>479</v>
      </c>
      <c r="B547" s="4"/>
      <c r="C547" s="79" t="s">
        <v>456</v>
      </c>
      <c r="D547" s="25"/>
      <c r="E547" s="47"/>
      <c r="F547" s="150">
        <f>2000-2000</f>
        <v>0</v>
      </c>
      <c r="G547" s="150">
        <v>0</v>
      </c>
      <c r="H547" s="150">
        <v>2000</v>
      </c>
      <c r="I547" s="203"/>
      <c r="J547" s="203">
        <f>H547/$H$1363</f>
        <v>4.350610856218489E-05</v>
      </c>
    </row>
    <row r="548" spans="1:10" ht="12.75">
      <c r="A548" s="158">
        <f t="shared" si="29"/>
        <v>480</v>
      </c>
      <c r="B548" s="4">
        <v>8070</v>
      </c>
      <c r="C548" s="79" t="s">
        <v>139</v>
      </c>
      <c r="D548" s="25"/>
      <c r="E548" s="47"/>
      <c r="F548" s="150"/>
      <c r="G548" s="150"/>
      <c r="H548" s="150"/>
      <c r="I548" s="203"/>
      <c r="J548" s="203"/>
    </row>
    <row r="549" spans="1:10" ht="12.75">
      <c r="A549" s="158">
        <f t="shared" si="29"/>
        <v>481</v>
      </c>
      <c r="B549" s="4"/>
      <c r="C549" s="79" t="s">
        <v>140</v>
      </c>
      <c r="D549" s="25"/>
      <c r="E549" s="47">
        <f>SUM(E551:E554)</f>
        <v>603500</v>
      </c>
      <c r="F549" s="23">
        <f>SUM(F551:F555)</f>
        <v>251968.34</v>
      </c>
      <c r="G549" s="23">
        <f>SUM(G551:G555)</f>
        <v>215556.98</v>
      </c>
      <c r="H549" s="23">
        <f>SUM(H551:H555)</f>
        <v>236000</v>
      </c>
      <c r="I549" s="203">
        <f>H549/G549</f>
        <v>1.0948381258635187</v>
      </c>
      <c r="J549" s="203">
        <f>H549/$H$1363</f>
        <v>0.005133720810337817</v>
      </c>
    </row>
    <row r="550" spans="1:10" ht="12.75">
      <c r="A550" s="158">
        <f t="shared" si="29"/>
        <v>482</v>
      </c>
      <c r="B550" s="4"/>
      <c r="C550" s="79" t="s">
        <v>15</v>
      </c>
      <c r="D550" s="25"/>
      <c r="E550" s="46"/>
      <c r="F550" s="138"/>
      <c r="G550" s="138"/>
      <c r="H550" s="138"/>
      <c r="I550" s="203"/>
      <c r="J550" s="203"/>
    </row>
    <row r="551" spans="1:10" ht="12.75">
      <c r="A551" s="158">
        <f t="shared" si="29"/>
        <v>483</v>
      </c>
      <c r="B551" s="4"/>
      <c r="C551" s="120" t="s">
        <v>208</v>
      </c>
      <c r="D551" s="25"/>
      <c r="E551" s="46">
        <v>26400</v>
      </c>
      <c r="F551" s="150">
        <v>230000</v>
      </c>
      <c r="G551" s="150">
        <v>200000</v>
      </c>
      <c r="H551" s="150">
        <v>201000</v>
      </c>
      <c r="I551" s="203">
        <f>H551/G551</f>
        <v>1.005</v>
      </c>
      <c r="J551" s="203">
        <f>H551/$H$1363</f>
        <v>0.004372363910499582</v>
      </c>
    </row>
    <row r="552" spans="1:10" ht="12.75">
      <c r="A552" s="158">
        <f t="shared" si="29"/>
        <v>484</v>
      </c>
      <c r="B552" s="4"/>
      <c r="C552" s="79" t="s">
        <v>173</v>
      </c>
      <c r="D552" s="25"/>
      <c r="E552" s="46">
        <v>48600</v>
      </c>
      <c r="F552" s="150">
        <v>468.34</v>
      </c>
      <c r="G552" s="150">
        <v>56.98</v>
      </c>
      <c r="H552" s="150">
        <v>0</v>
      </c>
      <c r="I552" s="203">
        <f>H552/G552</f>
        <v>0</v>
      </c>
      <c r="J552" s="203">
        <f>H552/$H$1363</f>
        <v>0</v>
      </c>
    </row>
    <row r="553" spans="1:10" ht="12.75">
      <c r="A553" s="158">
        <f t="shared" si="29"/>
        <v>485</v>
      </c>
      <c r="B553" s="4"/>
      <c r="C553" s="79" t="s">
        <v>156</v>
      </c>
      <c r="D553" s="25"/>
      <c r="E553" s="46">
        <v>68500</v>
      </c>
      <c r="F553" s="150">
        <f>15000-15000</f>
        <v>0</v>
      </c>
      <c r="G553" s="150">
        <v>0</v>
      </c>
      <c r="H553" s="150">
        <v>27000</v>
      </c>
      <c r="I553" s="203"/>
      <c r="J553" s="203">
        <f aca="true" t="shared" si="30" ref="J553:J618">H553/$H$1363</f>
        <v>0.000587332465589496</v>
      </c>
    </row>
    <row r="554" spans="1:10" ht="12.75">
      <c r="A554" s="158">
        <f t="shared" si="29"/>
        <v>486</v>
      </c>
      <c r="B554" s="4"/>
      <c r="C554" s="120" t="s">
        <v>207</v>
      </c>
      <c r="D554" s="25"/>
      <c r="E554" s="46">
        <v>460000</v>
      </c>
      <c r="F554" s="150">
        <v>21500</v>
      </c>
      <c r="G554" s="150">
        <v>15500</v>
      </c>
      <c r="H554" s="150">
        <v>8000</v>
      </c>
      <c r="I554" s="203">
        <f>H554/G554</f>
        <v>0.5161290322580645</v>
      </c>
      <c r="J554" s="203">
        <f t="shared" si="30"/>
        <v>0.00017402443424873956</v>
      </c>
    </row>
    <row r="555" spans="1:10" s="60" customFormat="1" ht="12.75">
      <c r="A555" s="158">
        <f t="shared" si="29"/>
        <v>487</v>
      </c>
      <c r="B555" s="101"/>
      <c r="C555" s="120" t="s">
        <v>345</v>
      </c>
      <c r="D555" s="84"/>
      <c r="E555" s="83"/>
      <c r="F555" s="150">
        <f>124500-124500</f>
        <v>0</v>
      </c>
      <c r="G555" s="150">
        <v>0</v>
      </c>
      <c r="H555" s="150">
        <v>0</v>
      </c>
      <c r="I555" s="203"/>
      <c r="J555" s="203">
        <f t="shared" si="30"/>
        <v>0</v>
      </c>
    </row>
    <row r="556" spans="1:10" s="70" customFormat="1" ht="12.75">
      <c r="A556" s="158">
        <f t="shared" si="29"/>
        <v>488</v>
      </c>
      <c r="B556" s="76">
        <v>758</v>
      </c>
      <c r="C556" s="80" t="s">
        <v>89</v>
      </c>
      <c r="D556" s="58"/>
      <c r="E556" s="59">
        <f>E557+E559</f>
        <v>183335</v>
      </c>
      <c r="F556" s="58">
        <f>F557+F559</f>
        <v>150282.44</v>
      </c>
      <c r="G556" s="58">
        <f>G557+G559</f>
        <v>150282.44</v>
      </c>
      <c r="H556" s="58">
        <f>H557+H559</f>
        <v>218458.35</v>
      </c>
      <c r="I556" s="203">
        <f>H556/G556</f>
        <v>1.4536518704380899</v>
      </c>
      <c r="J556" s="203">
        <f t="shared" si="30"/>
        <v>0.004752136345707892</v>
      </c>
    </row>
    <row r="557" spans="1:10" s="73" customFormat="1" ht="12.75">
      <c r="A557" s="158">
        <f t="shared" si="29"/>
        <v>489</v>
      </c>
      <c r="B557" s="75">
        <v>75814</v>
      </c>
      <c r="C557" s="121" t="s">
        <v>157</v>
      </c>
      <c r="D557" s="63"/>
      <c r="E557" s="64">
        <f>E558</f>
        <v>33335</v>
      </c>
      <c r="F557" s="63">
        <f aca="true" t="shared" si="31" ref="F557:H559">F558</f>
        <v>11899</v>
      </c>
      <c r="G557" s="63">
        <f t="shared" si="31"/>
        <v>11899</v>
      </c>
      <c r="H557" s="63">
        <f t="shared" si="31"/>
        <v>0</v>
      </c>
      <c r="I557" s="203">
        <f>H557/G557</f>
        <v>0</v>
      </c>
      <c r="J557" s="203">
        <f t="shared" si="30"/>
        <v>0</v>
      </c>
    </row>
    <row r="558" spans="1:10" s="60" customFormat="1" ht="12.75">
      <c r="A558" s="158">
        <f t="shared" si="29"/>
        <v>490</v>
      </c>
      <c r="B558" s="97">
        <v>2930</v>
      </c>
      <c r="C558" s="120" t="s">
        <v>158</v>
      </c>
      <c r="D558" s="84"/>
      <c r="E558" s="82">
        <v>33335</v>
      </c>
      <c r="F558" s="28">
        <v>11899</v>
      </c>
      <c r="G558" s="28">
        <v>11899</v>
      </c>
      <c r="H558" s="138">
        <v>0</v>
      </c>
      <c r="I558" s="203">
        <f>H558/G558</f>
        <v>0</v>
      </c>
      <c r="J558" s="203">
        <f t="shared" si="30"/>
        <v>0</v>
      </c>
    </row>
    <row r="559" spans="1:10" s="73" customFormat="1" ht="12.75">
      <c r="A559" s="158">
        <f t="shared" si="29"/>
        <v>491</v>
      </c>
      <c r="B559" s="75">
        <v>75818</v>
      </c>
      <c r="C559" s="121" t="s">
        <v>90</v>
      </c>
      <c r="D559" s="63"/>
      <c r="E559" s="64">
        <f>E560</f>
        <v>150000</v>
      </c>
      <c r="F559" s="63">
        <f t="shared" si="31"/>
        <v>138383.44</v>
      </c>
      <c r="G559" s="63">
        <f t="shared" si="31"/>
        <v>138383.44</v>
      </c>
      <c r="H559" s="63">
        <f t="shared" si="31"/>
        <v>218458.35</v>
      </c>
      <c r="I559" s="203">
        <f>H559/G559</f>
        <v>1.5786451760412952</v>
      </c>
      <c r="J559" s="203">
        <f t="shared" si="30"/>
        <v>0.004752136345707892</v>
      </c>
    </row>
    <row r="560" spans="1:10" ht="12.75">
      <c r="A560" s="158">
        <f t="shared" si="29"/>
        <v>492</v>
      </c>
      <c r="B560" s="14">
        <v>4810</v>
      </c>
      <c r="C560" s="119" t="s">
        <v>91</v>
      </c>
      <c r="D560" s="28">
        <f>SUM(D561:D562)</f>
        <v>0</v>
      </c>
      <c r="E560" s="45">
        <f>SUM(E562:E562)</f>
        <v>150000</v>
      </c>
      <c r="F560" s="28">
        <f>SUM(F562:F564)</f>
        <v>138383.44</v>
      </c>
      <c r="G560" s="28">
        <f>SUM(G562:G564)</f>
        <v>138383.44</v>
      </c>
      <c r="H560" s="28">
        <f>SUM(H562:H564)</f>
        <v>218458.35</v>
      </c>
      <c r="I560" s="203">
        <f>H560/G560</f>
        <v>1.5786451760412952</v>
      </c>
      <c r="J560" s="203">
        <f t="shared" si="30"/>
        <v>0.004752136345707892</v>
      </c>
    </row>
    <row r="561" spans="1:10" ht="12.75">
      <c r="A561" s="158">
        <f t="shared" si="29"/>
        <v>493</v>
      </c>
      <c r="B561" s="14"/>
      <c r="C561" s="119" t="s">
        <v>15</v>
      </c>
      <c r="D561" s="25"/>
      <c r="E561" s="46"/>
      <c r="F561" s="138"/>
      <c r="G561" s="138"/>
      <c r="H561" s="138"/>
      <c r="I561" s="203"/>
      <c r="J561" s="203"/>
    </row>
    <row r="562" spans="1:10" ht="12.75">
      <c r="A562" s="158">
        <f t="shared" si="29"/>
        <v>494</v>
      </c>
      <c r="B562" s="4"/>
      <c r="C562" s="79" t="s">
        <v>92</v>
      </c>
      <c r="D562" s="25"/>
      <c r="E562" s="46">
        <v>150000</v>
      </c>
      <c r="F562" s="138">
        <v>138383.44</v>
      </c>
      <c r="G562" s="138">
        <v>138383.44</v>
      </c>
      <c r="H562" s="138">
        <v>200000</v>
      </c>
      <c r="I562" s="203">
        <f>H562/G562</f>
        <v>1.4452596351124094</v>
      </c>
      <c r="J562" s="203">
        <f t="shared" si="30"/>
        <v>0.004350610856218489</v>
      </c>
    </row>
    <row r="563" spans="1:10" ht="12.75">
      <c r="A563" s="158">
        <f t="shared" si="29"/>
        <v>495</v>
      </c>
      <c r="B563" s="4"/>
      <c r="C563" s="79" t="s">
        <v>607</v>
      </c>
      <c r="D563" s="25"/>
      <c r="E563" s="46"/>
      <c r="F563" s="138"/>
      <c r="G563" s="138"/>
      <c r="H563" s="138"/>
      <c r="I563" s="203"/>
      <c r="J563" s="203"/>
    </row>
    <row r="564" spans="1:10" ht="12.75">
      <c r="A564" s="158">
        <f t="shared" si="29"/>
        <v>496</v>
      </c>
      <c r="B564" s="4"/>
      <c r="C564" s="79" t="s">
        <v>608</v>
      </c>
      <c r="D564" s="25"/>
      <c r="E564" s="46"/>
      <c r="F564" s="138">
        <v>0</v>
      </c>
      <c r="G564" s="138">
        <v>0</v>
      </c>
      <c r="H564" s="138">
        <v>18458.35</v>
      </c>
      <c r="I564" s="203"/>
      <c r="J564" s="203">
        <f t="shared" si="30"/>
        <v>0.0004015254894894027</v>
      </c>
    </row>
    <row r="565" spans="1:10" ht="15">
      <c r="A565" s="158">
        <f t="shared" si="29"/>
        <v>497</v>
      </c>
      <c r="B565" s="9">
        <v>801</v>
      </c>
      <c r="C565" s="78" t="s">
        <v>8</v>
      </c>
      <c r="D565" s="25"/>
      <c r="E565" s="50" t="e">
        <f>E566+E688+E720+E757+E842</f>
        <v>#REF!</v>
      </c>
      <c r="F565" s="154">
        <f>F566+F681+F688+F720+F757+F761+F842+F785</f>
        <v>8498627.31</v>
      </c>
      <c r="G565" s="154">
        <f>G566+G681+G688+G720+G757+G761+G842+G785</f>
        <v>7835239.67</v>
      </c>
      <c r="H565" s="154">
        <f>H566+H681+H688+H720+H757+H761+H842+H785</f>
        <v>13283375</v>
      </c>
      <c r="I565" s="203">
        <f>H565/G565</f>
        <v>1.6953374190785921</v>
      </c>
      <c r="J565" s="203">
        <f t="shared" si="30"/>
        <v>0.28895397741110634</v>
      </c>
    </row>
    <row r="566" spans="1:10" ht="12.75">
      <c r="A566" s="158">
        <f t="shared" si="29"/>
        <v>498</v>
      </c>
      <c r="B566" s="11">
        <v>80101</v>
      </c>
      <c r="C566" s="68" t="s">
        <v>174</v>
      </c>
      <c r="D566" s="26"/>
      <c r="E566" s="44" t="e">
        <f>E567+E575+E579+E583+E587+E591+#REF!+E603+E607+E612+E616+E620+E628+E641+E649+E651+E655+E675</f>
        <v>#REF!</v>
      </c>
      <c r="F566" s="26">
        <f>F567+F571+F575+F579+F583+F587+F591+F595+F599+F603+F607+F612+F616+F620+F624+F628+F632+F637+F641+F645+F650+F651+F655+F660+F665+F670+F675+F679</f>
        <v>3444270.56</v>
      </c>
      <c r="G566" s="26">
        <f>G567+G571+G575+G579+G583+G587+G591+G595+G599+G603+G607+G612+G616+G620+G624+G628+G632+G637+G641+G645+G650+G651+G655+G660+G665+G670+G675+G679</f>
        <v>3441967.79</v>
      </c>
      <c r="H566" s="26">
        <f>H567+H571+H575+H579+H583+H587+H591+H595+H599+H603+H607+H612+H616+H620+H624+H628+H632+H637+H641+H645+H650+H651+H655+H660+H665+H670+H675+H679</f>
        <v>3261625</v>
      </c>
      <c r="I566" s="203">
        <f>H566/G566</f>
        <v>0.947604742111779</v>
      </c>
      <c r="J566" s="203">
        <f t="shared" si="30"/>
        <v>0.07095030566956814</v>
      </c>
    </row>
    <row r="567" spans="1:10" ht="12.75">
      <c r="A567" s="158">
        <f t="shared" si="29"/>
        <v>499</v>
      </c>
      <c r="B567" s="4">
        <v>3020</v>
      </c>
      <c r="C567" s="79" t="s">
        <v>238</v>
      </c>
      <c r="D567" s="25"/>
      <c r="E567" s="47">
        <f>SUM(E569:E570)</f>
        <v>38200</v>
      </c>
      <c r="F567" s="23">
        <f>SUM(F569:F570)</f>
        <v>41466</v>
      </c>
      <c r="G567" s="23">
        <f>SUM(G569:G570)</f>
        <v>41466</v>
      </c>
      <c r="H567" s="23">
        <f>SUM(H569:H570)</f>
        <v>42200</v>
      </c>
      <c r="I567" s="203"/>
      <c r="J567" s="203">
        <f t="shared" si="30"/>
        <v>0.0009179788906621012</v>
      </c>
    </row>
    <row r="568" spans="1:10" ht="12.75">
      <c r="A568" s="158">
        <f t="shared" si="29"/>
        <v>500</v>
      </c>
      <c r="B568" s="4"/>
      <c r="C568" s="79" t="s">
        <v>15</v>
      </c>
      <c r="D568" s="25"/>
      <c r="E568" s="46"/>
      <c r="F568" s="138"/>
      <c r="G568" s="138"/>
      <c r="H568" s="138"/>
      <c r="I568" s="203"/>
      <c r="J568" s="203"/>
    </row>
    <row r="569" spans="1:10" ht="12.75">
      <c r="A569" s="158">
        <f t="shared" si="29"/>
        <v>501</v>
      </c>
      <c r="B569" s="4"/>
      <c r="C569" s="79" t="s">
        <v>147</v>
      </c>
      <c r="D569" s="25"/>
      <c r="E569" s="46">
        <v>11100</v>
      </c>
      <c r="F569" s="138">
        <v>8100</v>
      </c>
      <c r="G569" s="138">
        <v>8100</v>
      </c>
      <c r="H569" s="138">
        <v>8000</v>
      </c>
      <c r="I569" s="203"/>
      <c r="J569" s="203">
        <f t="shared" si="30"/>
        <v>0.00017402443424873956</v>
      </c>
    </row>
    <row r="570" spans="1:10" ht="12.75">
      <c r="A570" s="158">
        <f t="shared" si="29"/>
        <v>502</v>
      </c>
      <c r="B570" s="4"/>
      <c r="C570" s="79" t="s">
        <v>148</v>
      </c>
      <c r="D570" s="25"/>
      <c r="E570" s="46">
        <v>27100</v>
      </c>
      <c r="F570" s="138">
        <v>33366</v>
      </c>
      <c r="G570" s="138">
        <v>33366</v>
      </c>
      <c r="H570" s="138">
        <v>34200</v>
      </c>
      <c r="I570" s="203"/>
      <c r="J570" s="203">
        <f t="shared" si="30"/>
        <v>0.0007439544564133617</v>
      </c>
    </row>
    <row r="571" spans="1:10" ht="12.75">
      <c r="A571" s="158">
        <f t="shared" si="29"/>
        <v>503</v>
      </c>
      <c r="B571" s="4">
        <v>3240</v>
      </c>
      <c r="C571" s="79" t="s">
        <v>263</v>
      </c>
      <c r="D571" s="25"/>
      <c r="E571" s="46"/>
      <c r="F571" s="138">
        <f>SUM(F573:F574)</f>
        <v>16168</v>
      </c>
      <c r="G571" s="138">
        <f>SUM(G573:G574)</f>
        <v>16076</v>
      </c>
      <c r="H571" s="138">
        <f>SUM(H573:H574)</f>
        <v>17360</v>
      </c>
      <c r="I571" s="203">
        <f>H571/G571</f>
        <v>1.0798706145807415</v>
      </c>
      <c r="J571" s="203">
        <f t="shared" si="30"/>
        <v>0.00037763302231976485</v>
      </c>
    </row>
    <row r="572" spans="1:10" ht="12.75">
      <c r="A572" s="158">
        <f t="shared" si="29"/>
        <v>504</v>
      </c>
      <c r="B572" s="4"/>
      <c r="C572" s="79" t="s">
        <v>15</v>
      </c>
      <c r="D572" s="25"/>
      <c r="E572" s="46"/>
      <c r="F572" s="138"/>
      <c r="G572" s="138"/>
      <c r="H572" s="138"/>
      <c r="I572" s="203"/>
      <c r="J572" s="203"/>
    </row>
    <row r="573" spans="1:10" ht="12.75">
      <c r="A573" s="158">
        <f t="shared" si="29"/>
        <v>505</v>
      </c>
      <c r="B573" s="4"/>
      <c r="C573" s="79" t="s">
        <v>147</v>
      </c>
      <c r="D573" s="25"/>
      <c r="E573" s="46"/>
      <c r="F573" s="138">
        <v>14300</v>
      </c>
      <c r="G573" s="138">
        <v>14208</v>
      </c>
      <c r="H573" s="138">
        <v>15360</v>
      </c>
      <c r="I573" s="203">
        <f>H573/G573</f>
        <v>1.0810810810810811</v>
      </c>
      <c r="J573" s="203">
        <f t="shared" si="30"/>
        <v>0.00033412691375758</v>
      </c>
    </row>
    <row r="574" spans="1:10" ht="12.75">
      <c r="A574" s="158">
        <f t="shared" si="29"/>
        <v>506</v>
      </c>
      <c r="B574" s="4"/>
      <c r="C574" s="79" t="s">
        <v>148</v>
      </c>
      <c r="D574" s="25"/>
      <c r="E574" s="46"/>
      <c r="F574" s="138">
        <v>1868</v>
      </c>
      <c r="G574" s="138">
        <v>1868</v>
      </c>
      <c r="H574" s="138">
        <v>2000</v>
      </c>
      <c r="I574" s="203">
        <f>H574/G574</f>
        <v>1.0706638115631693</v>
      </c>
      <c r="J574" s="203">
        <f t="shared" si="30"/>
        <v>4.350610856218489E-05</v>
      </c>
    </row>
    <row r="575" spans="1:10" ht="12.75">
      <c r="A575" s="158">
        <f t="shared" si="29"/>
        <v>507</v>
      </c>
      <c r="B575" s="4">
        <v>3260</v>
      </c>
      <c r="C575" s="79" t="s">
        <v>249</v>
      </c>
      <c r="D575" s="25"/>
      <c r="E575" s="47">
        <f>SUM(E577:E578)</f>
        <v>9500</v>
      </c>
      <c r="F575" s="23">
        <f>SUM(F577:F578)</f>
        <v>0</v>
      </c>
      <c r="G575" s="23">
        <f>SUM(G577:G578)</f>
        <v>0</v>
      </c>
      <c r="H575" s="23">
        <f>SUM(H577:H578)</f>
        <v>0</v>
      </c>
      <c r="I575" s="203"/>
      <c r="J575" s="203">
        <f t="shared" si="30"/>
        <v>0</v>
      </c>
    </row>
    <row r="576" spans="1:10" ht="12.75">
      <c r="A576" s="158">
        <f t="shared" si="29"/>
        <v>508</v>
      </c>
      <c r="B576" s="4"/>
      <c r="C576" s="79" t="s">
        <v>15</v>
      </c>
      <c r="D576" s="25"/>
      <c r="E576" s="46"/>
      <c r="F576" s="138"/>
      <c r="G576" s="138"/>
      <c r="H576" s="138"/>
      <c r="I576" s="203"/>
      <c r="J576" s="203"/>
    </row>
    <row r="577" spans="1:10" ht="12.75">
      <c r="A577" s="158">
        <f t="shared" si="29"/>
        <v>509</v>
      </c>
      <c r="B577" s="4"/>
      <c r="C577" s="79" t="s">
        <v>147</v>
      </c>
      <c r="D577" s="25"/>
      <c r="E577" s="46">
        <v>8000</v>
      </c>
      <c r="F577" s="138">
        <v>0</v>
      </c>
      <c r="G577" s="138">
        <v>0</v>
      </c>
      <c r="H577" s="138">
        <v>0</v>
      </c>
      <c r="I577" s="203"/>
      <c r="J577" s="203">
        <f t="shared" si="30"/>
        <v>0</v>
      </c>
    </row>
    <row r="578" spans="1:10" ht="12.75">
      <c r="A578" s="158">
        <f t="shared" si="29"/>
        <v>510</v>
      </c>
      <c r="B578" s="4"/>
      <c r="C578" s="79" t="s">
        <v>148</v>
      </c>
      <c r="D578" s="25"/>
      <c r="E578" s="46">
        <v>1500</v>
      </c>
      <c r="F578" s="138">
        <v>0</v>
      </c>
      <c r="G578" s="138">
        <v>0</v>
      </c>
      <c r="H578" s="138">
        <v>0</v>
      </c>
      <c r="I578" s="203"/>
      <c r="J578" s="203">
        <f t="shared" si="30"/>
        <v>0</v>
      </c>
    </row>
    <row r="579" spans="1:10" ht="12.75">
      <c r="A579" s="158">
        <f t="shared" si="29"/>
        <v>511</v>
      </c>
      <c r="B579" s="4">
        <v>4010</v>
      </c>
      <c r="C579" s="79" t="s">
        <v>27</v>
      </c>
      <c r="D579" s="25"/>
      <c r="E579" s="47">
        <f>SUM(E581:E582)</f>
        <v>1420200</v>
      </c>
      <c r="F579" s="23">
        <f>SUM(F581:F582)</f>
        <v>1864910</v>
      </c>
      <c r="G579" s="23">
        <f>SUM(G581:G582)</f>
        <v>1864910</v>
      </c>
      <c r="H579" s="23">
        <f>SUM(H581:H582)</f>
        <v>1927765</v>
      </c>
      <c r="I579" s="203"/>
      <c r="J579" s="203">
        <f t="shared" si="30"/>
        <v>0.04193477668619018</v>
      </c>
    </row>
    <row r="580" spans="1:10" ht="12.75">
      <c r="A580" s="158">
        <f t="shared" si="29"/>
        <v>512</v>
      </c>
      <c r="B580" s="4"/>
      <c r="C580" s="79" t="s">
        <v>15</v>
      </c>
      <c r="D580" s="25"/>
      <c r="E580" s="46"/>
      <c r="F580" s="138"/>
      <c r="G580" s="138"/>
      <c r="H580" s="138"/>
      <c r="I580" s="203"/>
      <c r="J580" s="203"/>
    </row>
    <row r="581" spans="1:10" ht="12.75">
      <c r="A581" s="158">
        <f t="shared" si="29"/>
        <v>513</v>
      </c>
      <c r="B581" s="4"/>
      <c r="C581" s="79" t="s">
        <v>147</v>
      </c>
      <c r="D581" s="25"/>
      <c r="E581" s="46">
        <v>1122000</v>
      </c>
      <c r="F581" s="138">
        <f>1397425+1800</f>
        <v>1399225</v>
      </c>
      <c r="G581" s="138">
        <v>1399225</v>
      </c>
      <c r="H581" s="138">
        <v>1489000</v>
      </c>
      <c r="I581" s="203"/>
      <c r="J581" s="203">
        <f t="shared" si="30"/>
        <v>0.03239029782454665</v>
      </c>
    </row>
    <row r="582" spans="1:10" ht="12.75">
      <c r="A582" s="158">
        <f t="shared" si="29"/>
        <v>514</v>
      </c>
      <c r="B582" s="4"/>
      <c r="C582" s="79" t="s">
        <v>148</v>
      </c>
      <c r="D582" s="25"/>
      <c r="E582" s="46">
        <f>210000+1700+83500+2500+500</f>
        <v>298200</v>
      </c>
      <c r="F582" s="138">
        <f>463385+2300</f>
        <v>465685</v>
      </c>
      <c r="G582" s="138">
        <v>465685</v>
      </c>
      <c r="H582" s="138">
        <v>438765</v>
      </c>
      <c r="I582" s="203"/>
      <c r="J582" s="203">
        <f t="shared" si="30"/>
        <v>0.009544478861643526</v>
      </c>
    </row>
    <row r="583" spans="1:10" ht="12.75">
      <c r="A583" s="158">
        <f t="shared" si="29"/>
        <v>515</v>
      </c>
      <c r="B583" s="4">
        <v>4040</v>
      </c>
      <c r="C583" s="79" t="s">
        <v>28</v>
      </c>
      <c r="D583" s="25"/>
      <c r="E583" s="47">
        <f>SUM(E585:E586)</f>
        <v>111700</v>
      </c>
      <c r="F583" s="23">
        <f>SUM(F585:F586)</f>
        <v>128700</v>
      </c>
      <c r="G583" s="23">
        <f>SUM(G585:G586)</f>
        <v>126490.54</v>
      </c>
      <c r="H583" s="23">
        <f>SUM(H585:H586)</f>
        <v>135830</v>
      </c>
      <c r="I583" s="203"/>
      <c r="J583" s="203">
        <f t="shared" si="30"/>
        <v>0.002954717363000787</v>
      </c>
    </row>
    <row r="584" spans="1:10" ht="12.75">
      <c r="A584" s="158">
        <f t="shared" si="29"/>
        <v>516</v>
      </c>
      <c r="B584" s="4"/>
      <c r="C584" s="79" t="s">
        <v>15</v>
      </c>
      <c r="D584" s="25"/>
      <c r="E584" s="46"/>
      <c r="F584" s="138"/>
      <c r="G584" s="138"/>
      <c r="H584" s="138"/>
      <c r="I584" s="203"/>
      <c r="J584" s="203"/>
    </row>
    <row r="585" spans="1:10" ht="12.75">
      <c r="A585" s="158">
        <f t="shared" si="29"/>
        <v>517</v>
      </c>
      <c r="B585" s="4"/>
      <c r="C585" s="79" t="s">
        <v>147</v>
      </c>
      <c r="D585" s="25"/>
      <c r="E585" s="46">
        <v>82900</v>
      </c>
      <c r="F585" s="138">
        <v>95900</v>
      </c>
      <c r="G585" s="138">
        <v>95871.01</v>
      </c>
      <c r="H585" s="138">
        <v>101000</v>
      </c>
      <c r="I585" s="203"/>
      <c r="J585" s="203">
        <f t="shared" si="30"/>
        <v>0.002197058482390337</v>
      </c>
    </row>
    <row r="586" spans="1:10" ht="12.75">
      <c r="A586" s="158">
        <f t="shared" si="29"/>
        <v>518</v>
      </c>
      <c r="B586" s="4"/>
      <c r="C586" s="79" t="s">
        <v>148</v>
      </c>
      <c r="D586" s="25"/>
      <c r="E586" s="46">
        <v>28800</v>
      </c>
      <c r="F586" s="138">
        <v>32800</v>
      </c>
      <c r="G586" s="138">
        <v>30619.53</v>
      </c>
      <c r="H586" s="138">
        <v>34830</v>
      </c>
      <c r="I586" s="203"/>
      <c r="J586" s="203">
        <f t="shared" si="30"/>
        <v>0.0007576588806104498</v>
      </c>
    </row>
    <row r="587" spans="1:10" ht="12.75">
      <c r="A587" s="158">
        <f t="shared" si="29"/>
        <v>519</v>
      </c>
      <c r="B587" s="4">
        <v>4110</v>
      </c>
      <c r="C587" s="79" t="s">
        <v>32</v>
      </c>
      <c r="D587" s="25"/>
      <c r="E587" s="47">
        <f>SUM(E589:E590)</f>
        <v>275000</v>
      </c>
      <c r="F587" s="23">
        <f>SUM(F589:F590)</f>
        <v>340062</v>
      </c>
      <c r="G587" s="23">
        <f>SUM(G589:G590)</f>
        <v>340062</v>
      </c>
      <c r="H587" s="23">
        <f>SUM(H589:H590)</f>
        <v>345160</v>
      </c>
      <c r="I587" s="203"/>
      <c r="J587" s="203">
        <f t="shared" si="30"/>
        <v>0.007508284215661868</v>
      </c>
    </row>
    <row r="588" spans="1:10" ht="12.75">
      <c r="A588" s="158">
        <f t="shared" si="29"/>
        <v>520</v>
      </c>
      <c r="B588" s="4"/>
      <c r="C588" s="79" t="s">
        <v>15</v>
      </c>
      <c r="D588" s="25"/>
      <c r="E588" s="46"/>
      <c r="F588" s="138"/>
      <c r="G588" s="138"/>
      <c r="H588" s="138"/>
      <c r="I588" s="203"/>
      <c r="J588" s="203"/>
    </row>
    <row r="589" spans="1:10" ht="12.75">
      <c r="A589" s="158">
        <f t="shared" si="29"/>
        <v>521</v>
      </c>
      <c r="B589" s="4"/>
      <c r="C589" s="79" t="s">
        <v>147</v>
      </c>
      <c r="D589" s="25"/>
      <c r="E589" s="46">
        <v>212400</v>
      </c>
      <c r="F589" s="138">
        <v>248150</v>
      </c>
      <c r="G589" s="138">
        <v>248150</v>
      </c>
      <c r="H589" s="138">
        <v>267200</v>
      </c>
      <c r="I589" s="203"/>
      <c r="J589" s="203">
        <f t="shared" si="30"/>
        <v>0.005812416103907901</v>
      </c>
    </row>
    <row r="590" spans="1:10" ht="12.75">
      <c r="A590" s="158">
        <f t="shared" si="29"/>
        <v>522</v>
      </c>
      <c r="B590" s="4"/>
      <c r="C590" s="79" t="s">
        <v>148</v>
      </c>
      <c r="D590" s="25"/>
      <c r="E590" s="46">
        <v>62600</v>
      </c>
      <c r="F590" s="138">
        <v>91912</v>
      </c>
      <c r="G590" s="138">
        <v>91912</v>
      </c>
      <c r="H590" s="138">
        <v>77960</v>
      </c>
      <c r="I590" s="203"/>
      <c r="J590" s="203">
        <f t="shared" si="30"/>
        <v>0.001695868111753967</v>
      </c>
    </row>
    <row r="591" spans="1:10" ht="12.75">
      <c r="A591" s="158">
        <f t="shared" si="29"/>
        <v>523</v>
      </c>
      <c r="B591" s="4">
        <v>4120</v>
      </c>
      <c r="C591" s="79" t="s">
        <v>33</v>
      </c>
      <c r="D591" s="25"/>
      <c r="E591" s="47">
        <f>SUM(E593:E594)</f>
        <v>37700</v>
      </c>
      <c r="F591" s="23">
        <f>SUM(F593:F594)</f>
        <v>47865</v>
      </c>
      <c r="G591" s="23">
        <f>SUM(G593:G594)</f>
        <v>47865</v>
      </c>
      <c r="H591" s="23">
        <f>SUM(H593:H594)</f>
        <v>50360</v>
      </c>
      <c r="I591" s="203"/>
      <c r="J591" s="203">
        <f t="shared" si="30"/>
        <v>0.0010954838135958155</v>
      </c>
    </row>
    <row r="592" spans="1:10" ht="12.75">
      <c r="A592" s="158">
        <f t="shared" si="29"/>
        <v>524</v>
      </c>
      <c r="B592" s="4"/>
      <c r="C592" s="79" t="s">
        <v>15</v>
      </c>
      <c r="D592" s="25"/>
      <c r="E592" s="46"/>
      <c r="F592" s="138"/>
      <c r="G592" s="138"/>
      <c r="H592" s="138"/>
      <c r="I592" s="203"/>
      <c r="J592" s="203"/>
    </row>
    <row r="593" spans="1:10" ht="12.75">
      <c r="A593" s="158">
        <f t="shared" si="29"/>
        <v>525</v>
      </c>
      <c r="B593" s="4"/>
      <c r="C593" s="79" t="s">
        <v>147</v>
      </c>
      <c r="D593" s="25"/>
      <c r="E593" s="46">
        <v>29100</v>
      </c>
      <c r="F593" s="138">
        <v>35135</v>
      </c>
      <c r="G593" s="138">
        <v>35135</v>
      </c>
      <c r="H593" s="138">
        <v>38000</v>
      </c>
      <c r="I593" s="203"/>
      <c r="J593" s="203">
        <f t="shared" si="30"/>
        <v>0.0008266160626815129</v>
      </c>
    </row>
    <row r="594" spans="1:10" ht="12.75">
      <c r="A594" s="158">
        <f t="shared" si="29"/>
        <v>526</v>
      </c>
      <c r="B594" s="4"/>
      <c r="C594" s="79" t="s">
        <v>148</v>
      </c>
      <c r="D594" s="25"/>
      <c r="E594" s="46">
        <v>8600</v>
      </c>
      <c r="F594" s="138">
        <v>12730</v>
      </c>
      <c r="G594" s="138">
        <v>12730</v>
      </c>
      <c r="H594" s="138">
        <v>12360</v>
      </c>
      <c r="I594" s="203"/>
      <c r="J594" s="203">
        <f t="shared" si="30"/>
        <v>0.00026886775091430263</v>
      </c>
    </row>
    <row r="595" spans="1:10" ht="12.75">
      <c r="A595" s="158">
        <f t="shared" si="29"/>
        <v>527</v>
      </c>
      <c r="B595" s="4">
        <v>4140</v>
      </c>
      <c r="C595" s="79" t="s">
        <v>159</v>
      </c>
      <c r="D595" s="25"/>
      <c r="E595" s="46"/>
      <c r="F595" s="138">
        <f>SUM(F597:F598)</f>
        <v>0</v>
      </c>
      <c r="G595" s="138">
        <f>SUM(G597:G598)</f>
        <v>0</v>
      </c>
      <c r="H595" s="138">
        <f>SUM(H597:H598)</f>
        <v>11600</v>
      </c>
      <c r="I595" s="203"/>
      <c r="J595" s="203">
        <f t="shared" si="30"/>
        <v>0.00025233542966067235</v>
      </c>
    </row>
    <row r="596" spans="1:10" ht="12.75">
      <c r="A596" s="158">
        <f t="shared" si="29"/>
        <v>528</v>
      </c>
      <c r="B596" s="4"/>
      <c r="C596" s="79" t="s">
        <v>15</v>
      </c>
      <c r="D596" s="25"/>
      <c r="E596" s="46"/>
      <c r="F596" s="138"/>
      <c r="G596" s="138"/>
      <c r="H596" s="138"/>
      <c r="I596" s="203"/>
      <c r="J596" s="203"/>
    </row>
    <row r="597" spans="1:10" ht="12.75">
      <c r="A597" s="158">
        <f t="shared" si="29"/>
        <v>529</v>
      </c>
      <c r="B597" s="4"/>
      <c r="C597" s="79" t="s">
        <v>147</v>
      </c>
      <c r="D597" s="25"/>
      <c r="E597" s="46"/>
      <c r="F597" s="138">
        <v>0</v>
      </c>
      <c r="G597" s="138">
        <v>0</v>
      </c>
      <c r="H597" s="138">
        <v>11600</v>
      </c>
      <c r="I597" s="203"/>
      <c r="J597" s="203">
        <f t="shared" si="30"/>
        <v>0.00025233542966067235</v>
      </c>
    </row>
    <row r="598" spans="1:10" ht="12.75">
      <c r="A598" s="158">
        <f t="shared" si="29"/>
        <v>530</v>
      </c>
      <c r="B598" s="4"/>
      <c r="C598" s="79" t="s">
        <v>148</v>
      </c>
      <c r="D598" s="25"/>
      <c r="E598" s="46"/>
      <c r="F598" s="138">
        <v>0</v>
      </c>
      <c r="G598" s="138">
        <v>0</v>
      </c>
      <c r="H598" s="138">
        <v>0</v>
      </c>
      <c r="I598" s="203"/>
      <c r="J598" s="203">
        <f t="shared" si="30"/>
        <v>0</v>
      </c>
    </row>
    <row r="599" spans="1:10" ht="12.75">
      <c r="A599" s="158">
        <f t="shared" si="29"/>
        <v>531</v>
      </c>
      <c r="B599" s="4">
        <v>4170</v>
      </c>
      <c r="C599" s="79" t="s">
        <v>232</v>
      </c>
      <c r="D599" s="25"/>
      <c r="E599" s="46"/>
      <c r="F599" s="138">
        <f>SUM(F601:F602)</f>
        <v>24800</v>
      </c>
      <c r="G599" s="138">
        <f>SUM(G601:G602)</f>
        <v>24800</v>
      </c>
      <c r="H599" s="138">
        <f>SUM(H601:H602)</f>
        <v>37000</v>
      </c>
      <c r="I599" s="203">
        <f>H599/G599</f>
        <v>1.4919354838709677</v>
      </c>
      <c r="J599" s="203">
        <f t="shared" si="30"/>
        <v>0.0008048630084004205</v>
      </c>
    </row>
    <row r="600" spans="1:10" ht="12.75">
      <c r="A600" s="158">
        <f t="shared" si="29"/>
        <v>532</v>
      </c>
      <c r="B600" s="4"/>
      <c r="C600" s="79" t="s">
        <v>15</v>
      </c>
      <c r="D600" s="25"/>
      <c r="E600" s="46"/>
      <c r="F600" s="138"/>
      <c r="G600" s="138"/>
      <c r="H600" s="138"/>
      <c r="I600" s="203"/>
      <c r="J600" s="203"/>
    </row>
    <row r="601" spans="1:10" ht="12.75">
      <c r="A601" s="158">
        <f t="shared" si="29"/>
        <v>533</v>
      </c>
      <c r="B601" s="4"/>
      <c r="C601" s="79" t="s">
        <v>147</v>
      </c>
      <c r="D601" s="25"/>
      <c r="E601" s="46">
        <v>2500</v>
      </c>
      <c r="F601" s="138">
        <f>8000+2500</f>
        <v>10500</v>
      </c>
      <c r="G601" s="138">
        <v>10500</v>
      </c>
      <c r="H601" s="138">
        <v>23000</v>
      </c>
      <c r="I601" s="203">
        <f>H601/G601</f>
        <v>2.1904761904761907</v>
      </c>
      <c r="J601" s="203">
        <f t="shared" si="30"/>
        <v>0.0005003202484651262</v>
      </c>
    </row>
    <row r="602" spans="1:10" ht="12.75">
      <c r="A602" s="158">
        <f t="shared" si="29"/>
        <v>534</v>
      </c>
      <c r="B602" s="4"/>
      <c r="C602" s="79" t="s">
        <v>148</v>
      </c>
      <c r="D602" s="25"/>
      <c r="E602" s="46">
        <v>0</v>
      </c>
      <c r="F602" s="138">
        <v>14300</v>
      </c>
      <c r="G602" s="138">
        <v>14300</v>
      </c>
      <c r="H602" s="138">
        <v>14000</v>
      </c>
      <c r="I602" s="203">
        <f>H602/G602</f>
        <v>0.9790209790209791</v>
      </c>
      <c r="J602" s="203">
        <f t="shared" si="30"/>
        <v>0.00030454275993529426</v>
      </c>
    </row>
    <row r="603" spans="1:10" ht="12.75">
      <c r="A603" s="158">
        <f t="shared" si="29"/>
        <v>535</v>
      </c>
      <c r="B603" s="4">
        <v>4210</v>
      </c>
      <c r="C603" s="79" t="s">
        <v>136</v>
      </c>
      <c r="D603" s="25"/>
      <c r="E603" s="47">
        <f>SUM(E605:E606)</f>
        <v>156900</v>
      </c>
      <c r="F603" s="23">
        <f>SUM(F605:F606)</f>
        <v>131007</v>
      </c>
      <c r="G603" s="23">
        <f>SUM(G605:G606)</f>
        <v>131007</v>
      </c>
      <c r="H603" s="23">
        <f>SUM(H605:H606)</f>
        <v>176000</v>
      </c>
      <c r="I603" s="203"/>
      <c r="J603" s="203">
        <f t="shared" si="30"/>
        <v>0.0038285375534722705</v>
      </c>
    </row>
    <row r="604" spans="1:10" ht="12.75">
      <c r="A604" s="158">
        <f t="shared" si="29"/>
        <v>536</v>
      </c>
      <c r="B604" s="4"/>
      <c r="C604" s="79" t="s">
        <v>15</v>
      </c>
      <c r="D604" s="25"/>
      <c r="E604" s="46"/>
      <c r="F604" s="138"/>
      <c r="G604" s="138"/>
      <c r="H604" s="138"/>
      <c r="I604" s="203"/>
      <c r="J604" s="203"/>
    </row>
    <row r="605" spans="1:10" ht="12.75">
      <c r="A605" s="158">
        <f t="shared" si="29"/>
        <v>537</v>
      </c>
      <c r="B605" s="4"/>
      <c r="C605" s="79" t="s">
        <v>147</v>
      </c>
      <c r="D605" s="25"/>
      <c r="E605" s="46">
        <f>131500-19100</f>
        <v>112400</v>
      </c>
      <c r="F605" s="138">
        <f>71900+2800</f>
        <v>74700</v>
      </c>
      <c r="G605" s="138">
        <v>74700</v>
      </c>
      <c r="H605" s="138">
        <v>128000</v>
      </c>
      <c r="I605" s="203"/>
      <c r="J605" s="203">
        <f t="shared" si="30"/>
        <v>0.002784390947979833</v>
      </c>
    </row>
    <row r="606" spans="1:10" ht="12.75">
      <c r="A606" s="158">
        <f t="shared" si="29"/>
        <v>538</v>
      </c>
      <c r="B606" s="4"/>
      <c r="C606" s="79" t="s">
        <v>148</v>
      </c>
      <c r="D606" s="25"/>
      <c r="E606" s="46">
        <v>44500</v>
      </c>
      <c r="F606" s="138">
        <f>52307+4000</f>
        <v>56307</v>
      </c>
      <c r="G606" s="138">
        <v>56307</v>
      </c>
      <c r="H606" s="138">
        <v>48000</v>
      </c>
      <c r="I606" s="203"/>
      <c r="J606" s="203">
        <f t="shared" si="30"/>
        <v>0.0010441466054924374</v>
      </c>
    </row>
    <row r="607" spans="1:10" ht="12.75">
      <c r="A607" s="158">
        <f aca="true" t="shared" si="32" ref="A607:A670">A606+1</f>
        <v>539</v>
      </c>
      <c r="B607" s="4">
        <v>4220</v>
      </c>
      <c r="C607" s="79" t="s">
        <v>141</v>
      </c>
      <c r="D607" s="25"/>
      <c r="E607" s="46">
        <f>SUM(E609:E610)</f>
        <v>0</v>
      </c>
      <c r="F607" s="138">
        <f>SUM(F609:F610)</f>
        <v>120800</v>
      </c>
      <c r="G607" s="138">
        <f>SUM(G609:G610)</f>
        <v>120800</v>
      </c>
      <c r="H607" s="138">
        <f>SUM(H609:H610)</f>
        <v>0</v>
      </c>
      <c r="I607" s="203"/>
      <c r="J607" s="203">
        <f t="shared" si="30"/>
        <v>0</v>
      </c>
    </row>
    <row r="608" spans="1:10" ht="12.75">
      <c r="A608" s="158">
        <f t="shared" si="32"/>
        <v>540</v>
      </c>
      <c r="B608" s="4"/>
      <c r="C608" s="79" t="s">
        <v>15</v>
      </c>
      <c r="D608" s="25"/>
      <c r="E608" s="46"/>
      <c r="F608" s="138"/>
      <c r="G608" s="138"/>
      <c r="H608" s="138"/>
      <c r="I608" s="203"/>
      <c r="J608" s="203">
        <f t="shared" si="30"/>
        <v>0</v>
      </c>
    </row>
    <row r="609" spans="1:10" ht="12.75">
      <c r="A609" s="158">
        <f t="shared" si="32"/>
        <v>541</v>
      </c>
      <c r="B609" s="4"/>
      <c r="C609" s="79" t="s">
        <v>147</v>
      </c>
      <c r="D609" s="25"/>
      <c r="E609" s="46">
        <v>0</v>
      </c>
      <c r="F609" s="138">
        <v>92400</v>
      </c>
      <c r="G609" s="138">
        <v>92400</v>
      </c>
      <c r="H609" s="138">
        <v>0</v>
      </c>
      <c r="I609" s="203"/>
      <c r="J609" s="203">
        <f t="shared" si="30"/>
        <v>0</v>
      </c>
    </row>
    <row r="610" spans="1:10" ht="12.75">
      <c r="A610" s="158">
        <f t="shared" si="32"/>
        <v>542</v>
      </c>
      <c r="B610" s="4"/>
      <c r="C610" s="79" t="s">
        <v>148</v>
      </c>
      <c r="D610" s="25"/>
      <c r="E610" s="46">
        <v>0</v>
      </c>
      <c r="F610" s="138">
        <v>28400</v>
      </c>
      <c r="G610" s="138">
        <v>28400</v>
      </c>
      <c r="H610" s="138">
        <v>0</v>
      </c>
      <c r="I610" s="203"/>
      <c r="J610" s="203">
        <f t="shared" si="30"/>
        <v>0</v>
      </c>
    </row>
    <row r="611" spans="1:10" ht="12.75">
      <c r="A611" s="158">
        <f t="shared" si="32"/>
        <v>543</v>
      </c>
      <c r="B611" s="4">
        <v>4240</v>
      </c>
      <c r="C611" s="79" t="s">
        <v>142</v>
      </c>
      <c r="D611" s="25"/>
      <c r="E611" s="47"/>
      <c r="F611" s="150"/>
      <c r="G611" s="150"/>
      <c r="H611" s="150"/>
      <c r="I611" s="203"/>
      <c r="J611" s="203">
        <f t="shared" si="30"/>
        <v>0</v>
      </c>
    </row>
    <row r="612" spans="1:10" ht="12.75">
      <c r="A612" s="158">
        <f t="shared" si="32"/>
        <v>544</v>
      </c>
      <c r="B612" s="4"/>
      <c r="C612" s="79" t="s">
        <v>143</v>
      </c>
      <c r="D612" s="25"/>
      <c r="E612" s="47">
        <f>SUM(E614:E615)</f>
        <v>21000</v>
      </c>
      <c r="F612" s="23">
        <f>SUM(F614:F615)</f>
        <v>41100</v>
      </c>
      <c r="G612" s="23">
        <f>SUM(G614:G615)</f>
        <v>41100</v>
      </c>
      <c r="H612" s="23">
        <f>SUM(H614:H615)</f>
        <v>27000</v>
      </c>
      <c r="I612" s="203">
        <f>H612/G612</f>
        <v>0.656934306569343</v>
      </c>
      <c r="J612" s="203">
        <f t="shared" si="30"/>
        <v>0.000587332465589496</v>
      </c>
    </row>
    <row r="613" spans="1:10" ht="12.75">
      <c r="A613" s="158">
        <f t="shared" si="32"/>
        <v>545</v>
      </c>
      <c r="B613" s="4"/>
      <c r="C613" s="79" t="s">
        <v>15</v>
      </c>
      <c r="D613" s="25"/>
      <c r="E613" s="46"/>
      <c r="F613" s="138"/>
      <c r="G613" s="138"/>
      <c r="H613" s="138"/>
      <c r="I613" s="203"/>
      <c r="J613" s="203"/>
    </row>
    <row r="614" spans="1:10" ht="12.75">
      <c r="A614" s="158">
        <f t="shared" si="32"/>
        <v>546</v>
      </c>
      <c r="B614" s="4"/>
      <c r="C614" s="79" t="s">
        <v>147</v>
      </c>
      <c r="D614" s="25"/>
      <c r="E614" s="46">
        <f>84000-20000-20000-30000</f>
        <v>14000</v>
      </c>
      <c r="F614" s="138">
        <f>25000+12100</f>
        <v>37100</v>
      </c>
      <c r="G614" s="138">
        <v>37100</v>
      </c>
      <c r="H614" s="138">
        <v>24000</v>
      </c>
      <c r="I614" s="203">
        <f>H614/G614</f>
        <v>0.6469002695417789</v>
      </c>
      <c r="J614" s="203">
        <f t="shared" si="30"/>
        <v>0.0005220733027462187</v>
      </c>
    </row>
    <row r="615" spans="1:10" ht="12.75">
      <c r="A615" s="158">
        <f t="shared" si="32"/>
        <v>547</v>
      </c>
      <c r="B615" s="4"/>
      <c r="C615" s="79" t="s">
        <v>148</v>
      </c>
      <c r="D615" s="25"/>
      <c r="E615" s="46">
        <v>7000</v>
      </c>
      <c r="F615" s="138">
        <f>2500+1500</f>
        <v>4000</v>
      </c>
      <c r="G615" s="138">
        <v>4000</v>
      </c>
      <c r="H615" s="138">
        <v>3000</v>
      </c>
      <c r="I615" s="203">
        <f>H615/G615</f>
        <v>0.75</v>
      </c>
      <c r="J615" s="203">
        <f t="shared" si="30"/>
        <v>6.525916284327733E-05</v>
      </c>
    </row>
    <row r="616" spans="1:10" ht="12.75">
      <c r="A616" s="158">
        <f t="shared" si="32"/>
        <v>548</v>
      </c>
      <c r="B616" s="4">
        <v>4260</v>
      </c>
      <c r="C616" s="79" t="s">
        <v>138</v>
      </c>
      <c r="D616" s="25"/>
      <c r="E616" s="47">
        <f>SUM(E618:E619)</f>
        <v>32600</v>
      </c>
      <c r="F616" s="23">
        <f>SUM(F618:F619)</f>
        <v>169750</v>
      </c>
      <c r="G616" s="23">
        <f>SUM(G618:G619)</f>
        <v>169750</v>
      </c>
      <c r="H616" s="23">
        <f>SUM(H618:H619)</f>
        <v>145400</v>
      </c>
      <c r="I616" s="203"/>
      <c r="J616" s="203">
        <f t="shared" si="30"/>
        <v>0.0031628940924708416</v>
      </c>
    </row>
    <row r="617" spans="1:10" ht="12.75">
      <c r="A617" s="158">
        <f t="shared" si="32"/>
        <v>549</v>
      </c>
      <c r="B617" s="4"/>
      <c r="C617" s="79" t="s">
        <v>15</v>
      </c>
      <c r="D617" s="25"/>
      <c r="E617" s="46"/>
      <c r="F617" s="138"/>
      <c r="G617" s="138"/>
      <c r="H617" s="138"/>
      <c r="I617" s="203"/>
      <c r="J617" s="203"/>
    </row>
    <row r="618" spans="1:10" ht="12.75">
      <c r="A618" s="158">
        <f t="shared" si="32"/>
        <v>550</v>
      </c>
      <c r="B618" s="4"/>
      <c r="C618" s="79" t="s">
        <v>147</v>
      </c>
      <c r="D618" s="25"/>
      <c r="E618" s="46">
        <v>22500</v>
      </c>
      <c r="F618" s="138">
        <v>159100</v>
      </c>
      <c r="G618" s="138">
        <v>159100</v>
      </c>
      <c r="H618" s="138">
        <v>133000</v>
      </c>
      <c r="I618" s="203"/>
      <c r="J618" s="203">
        <f t="shared" si="30"/>
        <v>0.002893156219385295</v>
      </c>
    </row>
    <row r="619" spans="1:10" ht="13.5" customHeight="1">
      <c r="A619" s="158">
        <f t="shared" si="32"/>
        <v>551</v>
      </c>
      <c r="B619" s="4"/>
      <c r="C619" s="79" t="s">
        <v>148</v>
      </c>
      <c r="D619" s="25"/>
      <c r="E619" s="46">
        <v>10100</v>
      </c>
      <c r="F619" s="138">
        <f>11650-1000</f>
        <v>10650</v>
      </c>
      <c r="G619" s="138">
        <v>10650</v>
      </c>
      <c r="H619" s="138">
        <v>12400</v>
      </c>
      <c r="I619" s="203"/>
      <c r="J619" s="203">
        <f aca="true" t="shared" si="33" ref="J619:J650">H619/$H$1363</f>
        <v>0.00026973787308554633</v>
      </c>
    </row>
    <row r="620" spans="1:10" ht="12.75">
      <c r="A620" s="158">
        <f t="shared" si="32"/>
        <v>552</v>
      </c>
      <c r="B620" s="4">
        <v>4270</v>
      </c>
      <c r="C620" s="79" t="s">
        <v>135</v>
      </c>
      <c r="D620" s="25"/>
      <c r="E620" s="45">
        <f>SUM(E622:E623)</f>
        <v>40200</v>
      </c>
      <c r="F620" s="28">
        <f>SUM(F622:F623)</f>
        <v>31450</v>
      </c>
      <c r="G620" s="28">
        <f>SUM(G622:G623)</f>
        <v>31450</v>
      </c>
      <c r="H620" s="28">
        <f>SUM(H622:H623)</f>
        <v>26500</v>
      </c>
      <c r="I620" s="203"/>
      <c r="J620" s="203">
        <f t="shared" si="33"/>
        <v>0.0005764559384489498</v>
      </c>
    </row>
    <row r="621" spans="1:10" ht="12.75">
      <c r="A621" s="158">
        <f t="shared" si="32"/>
        <v>553</v>
      </c>
      <c r="B621" s="4"/>
      <c r="C621" s="79" t="s">
        <v>15</v>
      </c>
      <c r="D621" s="25"/>
      <c r="E621" s="46"/>
      <c r="F621" s="138"/>
      <c r="G621" s="138"/>
      <c r="H621" s="138"/>
      <c r="I621" s="203"/>
      <c r="J621" s="203"/>
    </row>
    <row r="622" spans="1:10" ht="12.75">
      <c r="A622" s="158">
        <f t="shared" si="32"/>
        <v>554</v>
      </c>
      <c r="B622" s="4"/>
      <c r="C622" s="79" t="s">
        <v>147</v>
      </c>
      <c r="D622" s="25"/>
      <c r="E622" s="46">
        <v>24200</v>
      </c>
      <c r="F622" s="138">
        <v>20000</v>
      </c>
      <c r="G622" s="138">
        <v>20000</v>
      </c>
      <c r="H622" s="138">
        <v>15000</v>
      </c>
      <c r="I622" s="203"/>
      <c r="J622" s="203">
        <f t="shared" si="33"/>
        <v>0.0003262958142163867</v>
      </c>
    </row>
    <row r="623" spans="1:10" ht="12.75">
      <c r="A623" s="158">
        <f t="shared" si="32"/>
        <v>555</v>
      </c>
      <c r="B623" s="4"/>
      <c r="C623" s="79" t="s">
        <v>148</v>
      </c>
      <c r="D623" s="25"/>
      <c r="E623" s="46">
        <v>16000</v>
      </c>
      <c r="F623" s="138">
        <v>11450</v>
      </c>
      <c r="G623" s="138">
        <v>11450</v>
      </c>
      <c r="H623" s="138">
        <v>11500</v>
      </c>
      <c r="I623" s="203"/>
      <c r="J623" s="203">
        <f t="shared" si="33"/>
        <v>0.0002501601242325631</v>
      </c>
    </row>
    <row r="624" spans="1:10" ht="12.75">
      <c r="A624" s="158">
        <f t="shared" si="32"/>
        <v>556</v>
      </c>
      <c r="B624" s="4">
        <v>4280</v>
      </c>
      <c r="C624" s="79" t="s">
        <v>318</v>
      </c>
      <c r="D624" s="25"/>
      <c r="E624" s="46"/>
      <c r="F624" s="138">
        <f>SUM(F626:F627)</f>
        <v>6450</v>
      </c>
      <c r="G624" s="138">
        <f>SUM(G626:G627)</f>
        <v>6450</v>
      </c>
      <c r="H624" s="138">
        <f>SUM(H626:H627)</f>
        <v>3850</v>
      </c>
      <c r="I624" s="203">
        <f>H624/G624</f>
        <v>0.5968992248062015</v>
      </c>
      <c r="J624" s="203">
        <f t="shared" si="33"/>
        <v>8.374925898220592E-05</v>
      </c>
    </row>
    <row r="625" spans="1:10" ht="12.75">
      <c r="A625" s="158">
        <f t="shared" si="32"/>
        <v>557</v>
      </c>
      <c r="B625" s="4"/>
      <c r="C625" s="79" t="s">
        <v>15</v>
      </c>
      <c r="D625" s="25"/>
      <c r="E625" s="46"/>
      <c r="F625" s="138"/>
      <c r="G625" s="138"/>
      <c r="H625" s="138"/>
      <c r="I625" s="203"/>
      <c r="J625" s="203"/>
    </row>
    <row r="626" spans="1:10" ht="12.75">
      <c r="A626" s="158">
        <f t="shared" si="32"/>
        <v>558</v>
      </c>
      <c r="B626" s="4"/>
      <c r="C626" s="79" t="s">
        <v>147</v>
      </c>
      <c r="D626" s="25"/>
      <c r="E626" s="46"/>
      <c r="F626" s="138">
        <f>4000+600</f>
        <v>4600</v>
      </c>
      <c r="G626" s="138">
        <v>4600</v>
      </c>
      <c r="H626" s="138">
        <v>2000</v>
      </c>
      <c r="I626" s="203">
        <f>H626/G626</f>
        <v>0.43478260869565216</v>
      </c>
      <c r="J626" s="203">
        <f t="shared" si="33"/>
        <v>4.350610856218489E-05</v>
      </c>
    </row>
    <row r="627" spans="1:10" ht="12.75">
      <c r="A627" s="158">
        <f t="shared" si="32"/>
        <v>559</v>
      </c>
      <c r="B627" s="4"/>
      <c r="C627" s="79" t="s">
        <v>148</v>
      </c>
      <c r="D627" s="25"/>
      <c r="E627" s="46"/>
      <c r="F627" s="138">
        <v>1850</v>
      </c>
      <c r="G627" s="138">
        <v>1850</v>
      </c>
      <c r="H627" s="138">
        <v>1850</v>
      </c>
      <c r="I627" s="203">
        <f>H627/G627</f>
        <v>1</v>
      </c>
      <c r="J627" s="203">
        <f t="shared" si="33"/>
        <v>4.0243150420021024E-05</v>
      </c>
    </row>
    <row r="628" spans="1:10" ht="12.75">
      <c r="A628" s="158">
        <f t="shared" si="32"/>
        <v>560</v>
      </c>
      <c r="B628" s="4">
        <v>4300</v>
      </c>
      <c r="C628" s="79" t="s">
        <v>134</v>
      </c>
      <c r="D628" s="25"/>
      <c r="E628" s="45">
        <f>SUM(E630:E631)</f>
        <v>100700</v>
      </c>
      <c r="F628" s="28">
        <f>SUM(F630:F631)</f>
        <v>144050</v>
      </c>
      <c r="G628" s="28">
        <f>SUM(G630:G631)</f>
        <v>144050</v>
      </c>
      <c r="H628" s="28">
        <f>SUM(H630:H631)</f>
        <v>152200</v>
      </c>
      <c r="I628" s="203"/>
      <c r="J628" s="203">
        <f t="shared" si="33"/>
        <v>0.00331081486158227</v>
      </c>
    </row>
    <row r="629" spans="1:10" ht="12.75">
      <c r="A629" s="158">
        <f t="shared" si="32"/>
        <v>561</v>
      </c>
      <c r="B629" s="4"/>
      <c r="C629" s="79" t="s">
        <v>15</v>
      </c>
      <c r="D629" s="25"/>
      <c r="E629" s="46"/>
      <c r="F629" s="138"/>
      <c r="G629" s="138"/>
      <c r="H629" s="138"/>
      <c r="I629" s="203"/>
      <c r="J629" s="203"/>
    </row>
    <row r="630" spans="1:10" ht="12.75">
      <c r="A630" s="158">
        <f t="shared" si="32"/>
        <v>562</v>
      </c>
      <c r="B630" s="4"/>
      <c r="C630" s="79" t="s">
        <v>147</v>
      </c>
      <c r="D630" s="25"/>
      <c r="E630" s="46">
        <f>69000</f>
        <v>69000</v>
      </c>
      <c r="F630" s="138">
        <f>104100+7000</f>
        <v>111100</v>
      </c>
      <c r="G630" s="138">
        <v>111100</v>
      </c>
      <c r="H630" s="138">
        <v>124100</v>
      </c>
      <c r="I630" s="203"/>
      <c r="J630" s="203">
        <f t="shared" si="33"/>
        <v>0.0026995540362835723</v>
      </c>
    </row>
    <row r="631" spans="1:10" ht="12.75">
      <c r="A631" s="158">
        <f t="shared" si="32"/>
        <v>563</v>
      </c>
      <c r="B631" s="4"/>
      <c r="C631" s="79" t="s">
        <v>148</v>
      </c>
      <c r="D631" s="25"/>
      <c r="E631" s="46">
        <v>31700</v>
      </c>
      <c r="F631" s="138">
        <f>33950-1000</f>
        <v>32950</v>
      </c>
      <c r="G631" s="138">
        <v>32950</v>
      </c>
      <c r="H631" s="138">
        <v>28100</v>
      </c>
      <c r="I631" s="203"/>
      <c r="J631" s="203">
        <f t="shared" si="33"/>
        <v>0.0006112608252986977</v>
      </c>
    </row>
    <row r="632" spans="1:10" ht="12.75">
      <c r="A632" s="158">
        <f t="shared" si="32"/>
        <v>564</v>
      </c>
      <c r="B632" s="4">
        <v>4350</v>
      </c>
      <c r="C632" s="79" t="s">
        <v>332</v>
      </c>
      <c r="D632" s="25"/>
      <c r="E632" s="46"/>
      <c r="F632" s="138">
        <f>SUM(F634:F635)</f>
        <v>1000</v>
      </c>
      <c r="G632" s="138">
        <f>SUM(G634:G635)</f>
        <v>1000</v>
      </c>
      <c r="H632" s="138">
        <f>SUM(H634:H635)</f>
        <v>1000</v>
      </c>
      <c r="I632" s="203">
        <f>H632/G632</f>
        <v>1</v>
      </c>
      <c r="J632" s="203">
        <f t="shared" si="33"/>
        <v>2.1753054281092445E-05</v>
      </c>
    </row>
    <row r="633" spans="1:10" ht="12.75">
      <c r="A633" s="158">
        <f t="shared" si="32"/>
        <v>565</v>
      </c>
      <c r="B633" s="4"/>
      <c r="C633" s="79" t="s">
        <v>15</v>
      </c>
      <c r="D633" s="25"/>
      <c r="E633" s="46"/>
      <c r="F633" s="138"/>
      <c r="G633" s="138"/>
      <c r="H633" s="138"/>
      <c r="I633" s="203"/>
      <c r="J633" s="203"/>
    </row>
    <row r="634" spans="1:10" ht="12.75">
      <c r="A634" s="158">
        <f t="shared" si="32"/>
        <v>566</v>
      </c>
      <c r="B634" s="4"/>
      <c r="C634" s="79" t="s">
        <v>147</v>
      </c>
      <c r="D634" s="25"/>
      <c r="E634" s="46"/>
      <c r="F634" s="138">
        <v>0</v>
      </c>
      <c r="G634" s="138">
        <v>0</v>
      </c>
      <c r="H634" s="138">
        <v>0</v>
      </c>
      <c r="I634" s="203"/>
      <c r="J634" s="203">
        <f t="shared" si="33"/>
        <v>0</v>
      </c>
    </row>
    <row r="635" spans="1:10" ht="12.75">
      <c r="A635" s="158">
        <f t="shared" si="32"/>
        <v>567</v>
      </c>
      <c r="B635" s="4"/>
      <c r="C635" s="79" t="s">
        <v>148</v>
      </c>
      <c r="D635" s="25"/>
      <c r="E635" s="46"/>
      <c r="F635" s="138">
        <v>1000</v>
      </c>
      <c r="G635" s="138">
        <v>1000</v>
      </c>
      <c r="H635" s="138">
        <v>1000</v>
      </c>
      <c r="I635" s="203">
        <f>H635/G635</f>
        <v>1</v>
      </c>
      <c r="J635" s="203">
        <f t="shared" si="33"/>
        <v>2.1753054281092445E-05</v>
      </c>
    </row>
    <row r="636" spans="1:10" ht="12.75">
      <c r="A636" s="158">
        <f t="shared" si="32"/>
        <v>568</v>
      </c>
      <c r="B636" s="4">
        <v>4370</v>
      </c>
      <c r="C636" s="79" t="s">
        <v>320</v>
      </c>
      <c r="D636" s="25"/>
      <c r="E636" s="46"/>
      <c r="F636" s="138"/>
      <c r="G636" s="138"/>
      <c r="H636" s="138"/>
      <c r="I636" s="203"/>
      <c r="J636" s="203"/>
    </row>
    <row r="637" spans="1:10" ht="12.75">
      <c r="A637" s="158">
        <f t="shared" si="32"/>
        <v>569</v>
      </c>
      <c r="B637" s="4"/>
      <c r="C637" s="79" t="s">
        <v>343</v>
      </c>
      <c r="D637" s="25"/>
      <c r="E637" s="46"/>
      <c r="F637" s="138">
        <f>SUM(F639:F640)</f>
        <v>12000</v>
      </c>
      <c r="G637" s="138">
        <f>SUM(G639:G640)</f>
        <v>12000</v>
      </c>
      <c r="H637" s="138">
        <f>SUM(H639:H640)</f>
        <v>13900</v>
      </c>
      <c r="I637" s="203">
        <f>H637/G637</f>
        <v>1.1583333333333334</v>
      </c>
      <c r="J637" s="203">
        <f t="shared" si="33"/>
        <v>0.000302367454507185</v>
      </c>
    </row>
    <row r="638" spans="1:10" ht="12.75">
      <c r="A638" s="158">
        <f t="shared" si="32"/>
        <v>570</v>
      </c>
      <c r="B638" s="4"/>
      <c r="C638" s="79" t="s">
        <v>15</v>
      </c>
      <c r="D638" s="25"/>
      <c r="E638" s="46"/>
      <c r="F638" s="138"/>
      <c r="G638" s="138"/>
      <c r="H638" s="138"/>
      <c r="I638" s="203"/>
      <c r="J638" s="203"/>
    </row>
    <row r="639" spans="1:10" ht="12.75">
      <c r="A639" s="158">
        <f t="shared" si="32"/>
        <v>571</v>
      </c>
      <c r="B639" s="4"/>
      <c r="C639" s="79" t="s">
        <v>147</v>
      </c>
      <c r="D639" s="25"/>
      <c r="E639" s="46"/>
      <c r="F639" s="138">
        <v>10000</v>
      </c>
      <c r="G639" s="138">
        <v>10000</v>
      </c>
      <c r="H639" s="138">
        <v>10200</v>
      </c>
      <c r="I639" s="203">
        <f>H639/G639</f>
        <v>1.02</v>
      </c>
      <c r="J639" s="203">
        <f t="shared" si="33"/>
        <v>0.00022188115366714295</v>
      </c>
    </row>
    <row r="640" spans="1:10" ht="12.75">
      <c r="A640" s="158">
        <f t="shared" si="32"/>
        <v>572</v>
      </c>
      <c r="B640" s="4"/>
      <c r="C640" s="79" t="s">
        <v>148</v>
      </c>
      <c r="D640" s="25"/>
      <c r="E640" s="46"/>
      <c r="F640" s="138">
        <f>3500-1500</f>
        <v>2000</v>
      </c>
      <c r="G640" s="138">
        <v>2000</v>
      </c>
      <c r="H640" s="138">
        <v>3700</v>
      </c>
      <c r="I640" s="203">
        <f>H640/G640</f>
        <v>1.85</v>
      </c>
      <c r="J640" s="203">
        <f t="shared" si="33"/>
        <v>8.048630084004205E-05</v>
      </c>
    </row>
    <row r="641" spans="1:10" ht="12.75">
      <c r="A641" s="158">
        <f t="shared" si="32"/>
        <v>573</v>
      </c>
      <c r="B641" s="4">
        <v>4410</v>
      </c>
      <c r="C641" s="79" t="s">
        <v>29</v>
      </c>
      <c r="D641" s="25"/>
      <c r="E641" s="47">
        <f>SUM(E643:E644)</f>
        <v>16100</v>
      </c>
      <c r="F641" s="23">
        <f>SUM(F643:F644)</f>
        <v>5220</v>
      </c>
      <c r="G641" s="23">
        <f>SUM(G643:G644)</f>
        <v>5220</v>
      </c>
      <c r="H641" s="23">
        <f>SUM(H643:H644)</f>
        <v>6200</v>
      </c>
      <c r="I641" s="203">
        <f>H641/G641</f>
        <v>1.1877394636015326</v>
      </c>
      <c r="J641" s="203">
        <f t="shared" si="33"/>
        <v>0.00013486893654277317</v>
      </c>
    </row>
    <row r="642" spans="1:10" ht="12.75">
      <c r="A642" s="158">
        <f t="shared" si="32"/>
        <v>574</v>
      </c>
      <c r="B642" s="4"/>
      <c r="C642" s="79" t="s">
        <v>15</v>
      </c>
      <c r="D642" s="25"/>
      <c r="E642" s="46"/>
      <c r="F642" s="138"/>
      <c r="G642" s="138"/>
      <c r="H642" s="138"/>
      <c r="I642" s="203"/>
      <c r="J642" s="203"/>
    </row>
    <row r="643" spans="1:10" ht="12.75">
      <c r="A643" s="158">
        <f t="shared" si="32"/>
        <v>575</v>
      </c>
      <c r="B643" s="4"/>
      <c r="C643" s="79" t="s">
        <v>147</v>
      </c>
      <c r="D643" s="25"/>
      <c r="E643" s="46">
        <v>12100</v>
      </c>
      <c r="F643" s="138">
        <v>2170</v>
      </c>
      <c r="G643" s="138">
        <v>2170</v>
      </c>
      <c r="H643" s="138">
        <v>3000</v>
      </c>
      <c r="I643" s="203">
        <f>H643/G643</f>
        <v>1.3824884792626728</v>
      </c>
      <c r="J643" s="203">
        <f t="shared" si="33"/>
        <v>6.525916284327733E-05</v>
      </c>
    </row>
    <row r="644" spans="1:10" ht="12.75">
      <c r="A644" s="158">
        <f t="shared" si="32"/>
        <v>576</v>
      </c>
      <c r="B644" s="4"/>
      <c r="C644" s="79" t="s">
        <v>148</v>
      </c>
      <c r="D644" s="25"/>
      <c r="E644" s="46">
        <v>4000</v>
      </c>
      <c r="F644" s="138">
        <v>3050</v>
      </c>
      <c r="G644" s="138">
        <v>3050</v>
      </c>
      <c r="H644" s="138">
        <v>3200</v>
      </c>
      <c r="I644" s="203">
        <f>H644/G644</f>
        <v>1.0491803278688525</v>
      </c>
      <c r="J644" s="203">
        <f t="shared" si="33"/>
        <v>6.960977369949582E-05</v>
      </c>
    </row>
    <row r="645" spans="1:10" ht="12.75">
      <c r="A645" s="158">
        <f t="shared" si="32"/>
        <v>577</v>
      </c>
      <c r="B645" s="4">
        <v>4420</v>
      </c>
      <c r="C645" s="79" t="s">
        <v>43</v>
      </c>
      <c r="D645" s="25"/>
      <c r="E645" s="46"/>
      <c r="F645" s="138">
        <f>SUM(F647:F648)</f>
        <v>430</v>
      </c>
      <c r="G645" s="138">
        <f>SUM(G647:G648)</f>
        <v>428.69</v>
      </c>
      <c r="H645" s="138">
        <f>SUM(H647:H648)</f>
        <v>4000</v>
      </c>
      <c r="I645" s="203">
        <f>H645/G645</f>
        <v>9.330751825328326</v>
      </c>
      <c r="J645" s="203">
        <f t="shared" si="33"/>
        <v>8.701221712436978E-05</v>
      </c>
    </row>
    <row r="646" spans="1:10" ht="12.75">
      <c r="A646" s="158">
        <f t="shared" si="32"/>
        <v>578</v>
      </c>
      <c r="B646" s="4"/>
      <c r="C646" s="79" t="s">
        <v>15</v>
      </c>
      <c r="D646" s="25"/>
      <c r="E646" s="46"/>
      <c r="F646" s="138"/>
      <c r="G646" s="138"/>
      <c r="H646" s="138"/>
      <c r="I646" s="203"/>
      <c r="J646" s="203"/>
    </row>
    <row r="647" spans="1:10" ht="12.75">
      <c r="A647" s="158">
        <f t="shared" si="32"/>
        <v>579</v>
      </c>
      <c r="B647" s="4"/>
      <c r="C647" s="79" t="s">
        <v>147</v>
      </c>
      <c r="D647" s="25"/>
      <c r="E647" s="46"/>
      <c r="F647" s="138">
        <v>430</v>
      </c>
      <c r="G647" s="138">
        <v>428.69</v>
      </c>
      <c r="H647" s="138">
        <v>2000</v>
      </c>
      <c r="I647" s="203">
        <f>H647/G647</f>
        <v>4.665375912664163</v>
      </c>
      <c r="J647" s="203">
        <f t="shared" si="33"/>
        <v>4.350610856218489E-05</v>
      </c>
    </row>
    <row r="648" spans="1:10" ht="12.75">
      <c r="A648" s="158">
        <f t="shared" si="32"/>
        <v>580</v>
      </c>
      <c r="B648" s="4"/>
      <c r="C648" s="79" t="s">
        <v>148</v>
      </c>
      <c r="D648" s="25"/>
      <c r="E648" s="46"/>
      <c r="F648" s="138">
        <f>2000-2000</f>
        <v>0</v>
      </c>
      <c r="G648" s="138">
        <v>0</v>
      </c>
      <c r="H648" s="138">
        <v>2000</v>
      </c>
      <c r="I648" s="203"/>
      <c r="J648" s="203">
        <f t="shared" si="33"/>
        <v>4.350610856218489E-05</v>
      </c>
    </row>
    <row r="649" spans="1:10" ht="12.75">
      <c r="A649" s="158">
        <f t="shared" si="32"/>
        <v>581</v>
      </c>
      <c r="B649" s="4">
        <v>4427</v>
      </c>
      <c r="C649" s="79" t="s">
        <v>319</v>
      </c>
      <c r="D649" s="25"/>
      <c r="E649" s="47" t="e">
        <f>SUM(#REF!)</f>
        <v>#REF!</v>
      </c>
      <c r="F649" s="150"/>
      <c r="G649" s="150"/>
      <c r="H649" s="150"/>
      <c r="I649" s="203"/>
      <c r="J649" s="203"/>
    </row>
    <row r="650" spans="1:10" ht="12.75">
      <c r="A650" s="158">
        <f t="shared" si="32"/>
        <v>582</v>
      </c>
      <c r="B650" s="4"/>
      <c r="C650" s="79" t="s">
        <v>317</v>
      </c>
      <c r="D650" s="25"/>
      <c r="E650" s="46"/>
      <c r="F650" s="138">
        <v>17622.56</v>
      </c>
      <c r="G650" s="138">
        <v>17622.56</v>
      </c>
      <c r="H650" s="138">
        <v>0</v>
      </c>
      <c r="I650" s="203">
        <f>H650/G650</f>
        <v>0</v>
      </c>
      <c r="J650" s="203">
        <f t="shared" si="33"/>
        <v>0</v>
      </c>
    </row>
    <row r="651" spans="1:10" ht="12.75">
      <c r="A651" s="158">
        <f t="shared" si="32"/>
        <v>583</v>
      </c>
      <c r="B651" s="4">
        <v>4430</v>
      </c>
      <c r="C651" s="79" t="s">
        <v>40</v>
      </c>
      <c r="D651" s="23"/>
      <c r="E651" s="47">
        <f>SUM(E653:E654)</f>
        <v>6000</v>
      </c>
      <c r="F651" s="23">
        <f>SUM(F653:F654)</f>
        <v>5400</v>
      </c>
      <c r="G651" s="23">
        <f>SUM(G653:G654)</f>
        <v>5400</v>
      </c>
      <c r="H651" s="23">
        <f>SUM(H653:H654)</f>
        <v>5300</v>
      </c>
      <c r="I651" s="203">
        <f>H651/G651</f>
        <v>0.9814814814814815</v>
      </c>
      <c r="J651" s="203">
        <f aca="true" t="shared" si="34" ref="J651:J679">H651/$H$1363</f>
        <v>0.00011529118768978996</v>
      </c>
    </row>
    <row r="652" spans="1:10" ht="12.75">
      <c r="A652" s="158">
        <f t="shared" si="32"/>
        <v>584</v>
      </c>
      <c r="B652" s="4"/>
      <c r="C652" s="79" t="s">
        <v>15</v>
      </c>
      <c r="D652" s="25"/>
      <c r="E652" s="46"/>
      <c r="F652" s="138"/>
      <c r="G652" s="138"/>
      <c r="H652" s="138"/>
      <c r="I652" s="203"/>
      <c r="J652" s="203"/>
    </row>
    <row r="653" spans="1:10" ht="12.75">
      <c r="A653" s="158">
        <f t="shared" si="32"/>
        <v>585</v>
      </c>
      <c r="B653" s="4"/>
      <c r="C653" s="79" t="s">
        <v>147</v>
      </c>
      <c r="D653" s="25"/>
      <c r="E653" s="46">
        <v>4000</v>
      </c>
      <c r="F653" s="138">
        <v>3200</v>
      </c>
      <c r="G653" s="138">
        <v>3200</v>
      </c>
      <c r="H653" s="138">
        <v>3200</v>
      </c>
      <c r="I653" s="203">
        <f>H653/G653</f>
        <v>1</v>
      </c>
      <c r="J653" s="203">
        <f t="shared" si="34"/>
        <v>6.960977369949582E-05</v>
      </c>
    </row>
    <row r="654" spans="1:10" ht="12.75">
      <c r="A654" s="158">
        <f t="shared" si="32"/>
        <v>586</v>
      </c>
      <c r="B654" s="4"/>
      <c r="C654" s="79" t="s">
        <v>148</v>
      </c>
      <c r="D654" s="25"/>
      <c r="E654" s="46">
        <v>2000</v>
      </c>
      <c r="F654" s="138">
        <v>2200</v>
      </c>
      <c r="G654" s="138">
        <v>2200</v>
      </c>
      <c r="H654" s="138">
        <v>2100</v>
      </c>
      <c r="I654" s="203">
        <f>H654/G654</f>
        <v>0.9545454545454546</v>
      </c>
      <c r="J654" s="203">
        <f t="shared" si="34"/>
        <v>4.568141399029414E-05</v>
      </c>
    </row>
    <row r="655" spans="1:10" ht="12.75">
      <c r="A655" s="158">
        <f t="shared" si="32"/>
        <v>587</v>
      </c>
      <c r="B655" s="4">
        <v>4440</v>
      </c>
      <c r="C655" s="79" t="s">
        <v>680</v>
      </c>
      <c r="D655" s="25"/>
      <c r="E655" s="47">
        <f>SUM(E657:E658)</f>
        <v>81300</v>
      </c>
      <c r="F655" s="23">
        <f>SUM(F657:F658)</f>
        <v>101920</v>
      </c>
      <c r="G655" s="23">
        <f>SUM(G657:G658)</f>
        <v>101920</v>
      </c>
      <c r="H655" s="23">
        <f>SUM(H657:H658)</f>
        <v>101900</v>
      </c>
      <c r="I655" s="203"/>
      <c r="J655" s="203">
        <f t="shared" si="34"/>
        <v>0.00221663623124332</v>
      </c>
    </row>
    <row r="656" spans="1:10" ht="12.75">
      <c r="A656" s="158">
        <f t="shared" si="32"/>
        <v>588</v>
      </c>
      <c r="B656" s="4"/>
      <c r="C656" s="79" t="s">
        <v>15</v>
      </c>
      <c r="D656" s="25"/>
      <c r="E656" s="46"/>
      <c r="F656" s="138"/>
      <c r="G656" s="138"/>
      <c r="H656" s="138"/>
      <c r="I656" s="203"/>
      <c r="J656" s="203"/>
    </row>
    <row r="657" spans="1:10" ht="12.75">
      <c r="A657" s="158">
        <f t="shared" si="32"/>
        <v>589</v>
      </c>
      <c r="B657" s="4"/>
      <c r="C657" s="79" t="s">
        <v>147</v>
      </c>
      <c r="D657" s="25"/>
      <c r="E657" s="46">
        <v>63500</v>
      </c>
      <c r="F657" s="138">
        <v>75820</v>
      </c>
      <c r="G657" s="138">
        <v>75820</v>
      </c>
      <c r="H657" s="138">
        <v>75200</v>
      </c>
      <c r="I657" s="203"/>
      <c r="J657" s="203">
        <f t="shared" si="34"/>
        <v>0.0016358296819381519</v>
      </c>
    </row>
    <row r="658" spans="1:10" ht="12.75">
      <c r="A658" s="158">
        <f t="shared" si="32"/>
        <v>590</v>
      </c>
      <c r="B658" s="4"/>
      <c r="C658" s="79" t="s">
        <v>148</v>
      </c>
      <c r="D658" s="25"/>
      <c r="E658" s="46">
        <v>17800</v>
      </c>
      <c r="F658" s="138">
        <v>26100</v>
      </c>
      <c r="G658" s="138">
        <v>26100</v>
      </c>
      <c r="H658" s="138">
        <v>26700</v>
      </c>
      <c r="I658" s="203"/>
      <c r="J658" s="203">
        <f t="shared" si="34"/>
        <v>0.0005808065493051683</v>
      </c>
    </row>
    <row r="659" spans="1:10" ht="12.75">
      <c r="A659" s="158">
        <f t="shared" si="32"/>
        <v>591</v>
      </c>
      <c r="B659" s="4">
        <v>4700</v>
      </c>
      <c r="C659" s="79" t="s">
        <v>342</v>
      </c>
      <c r="D659" s="25"/>
      <c r="E659" s="46"/>
      <c r="F659" s="138"/>
      <c r="G659" s="138"/>
      <c r="H659" s="138"/>
      <c r="I659" s="203"/>
      <c r="J659" s="203"/>
    </row>
    <row r="660" spans="1:10" ht="12.75">
      <c r="A660" s="158">
        <f t="shared" si="32"/>
        <v>592</v>
      </c>
      <c r="B660" s="4"/>
      <c r="C660" s="79" t="s">
        <v>341</v>
      </c>
      <c r="D660" s="25"/>
      <c r="E660" s="46"/>
      <c r="F660" s="138">
        <f>SUM(F662:F663)</f>
        <v>7000</v>
      </c>
      <c r="G660" s="138">
        <f>SUM(G662:G663)</f>
        <v>7000</v>
      </c>
      <c r="H660" s="138">
        <f>SUM(H662:H663)</f>
        <v>5000</v>
      </c>
      <c r="I660" s="203">
        <f aca="true" t="shared" si="35" ref="I660:I722">H660/G660</f>
        <v>0.7142857142857143</v>
      </c>
      <c r="J660" s="203">
        <f t="shared" si="34"/>
        <v>0.00010876527140546222</v>
      </c>
    </row>
    <row r="661" spans="1:10" ht="12.75">
      <c r="A661" s="158">
        <f t="shared" si="32"/>
        <v>593</v>
      </c>
      <c r="B661" s="4"/>
      <c r="C661" s="79" t="s">
        <v>15</v>
      </c>
      <c r="D661" s="25"/>
      <c r="E661" s="46"/>
      <c r="F661" s="138"/>
      <c r="G661" s="138"/>
      <c r="H661" s="138"/>
      <c r="I661" s="203"/>
      <c r="J661" s="203"/>
    </row>
    <row r="662" spans="1:10" ht="12.75">
      <c r="A662" s="158">
        <f t="shared" si="32"/>
        <v>594</v>
      </c>
      <c r="B662" s="4"/>
      <c r="C662" s="79" t="s">
        <v>147</v>
      </c>
      <c r="D662" s="25"/>
      <c r="E662" s="46"/>
      <c r="F662" s="138">
        <v>7000</v>
      </c>
      <c r="G662" s="138">
        <v>7000</v>
      </c>
      <c r="H662" s="138">
        <v>5000</v>
      </c>
      <c r="I662" s="203">
        <f t="shared" si="35"/>
        <v>0.7142857142857143</v>
      </c>
      <c r="J662" s="203">
        <f t="shared" si="34"/>
        <v>0.00010876527140546222</v>
      </c>
    </row>
    <row r="663" spans="1:10" ht="12.75">
      <c r="A663" s="158">
        <f t="shared" si="32"/>
        <v>595</v>
      </c>
      <c r="B663" s="4"/>
      <c r="C663" s="79" t="s">
        <v>148</v>
      </c>
      <c r="D663" s="25"/>
      <c r="E663" s="46"/>
      <c r="F663" s="138">
        <v>0</v>
      </c>
      <c r="G663" s="138">
        <v>0</v>
      </c>
      <c r="H663" s="138">
        <v>0</v>
      </c>
      <c r="I663" s="203"/>
      <c r="J663" s="203">
        <f t="shared" si="34"/>
        <v>0</v>
      </c>
    </row>
    <row r="664" spans="1:10" ht="12.75">
      <c r="A664" s="158">
        <f t="shared" si="32"/>
        <v>596</v>
      </c>
      <c r="B664" s="4">
        <v>4740</v>
      </c>
      <c r="C664" s="79" t="s">
        <v>309</v>
      </c>
      <c r="D664" s="25"/>
      <c r="E664" s="46"/>
      <c r="F664" s="138"/>
      <c r="G664" s="138"/>
      <c r="H664" s="138"/>
      <c r="I664" s="203"/>
      <c r="J664" s="203"/>
    </row>
    <row r="665" spans="1:10" ht="12.75">
      <c r="A665" s="158">
        <f t="shared" si="32"/>
        <v>597</v>
      </c>
      <c r="B665" s="4"/>
      <c r="C665" s="79" t="s">
        <v>310</v>
      </c>
      <c r="D665" s="25"/>
      <c r="E665" s="46"/>
      <c r="F665" s="138">
        <f>SUM(F667:F668)</f>
        <v>6500</v>
      </c>
      <c r="G665" s="138">
        <f>SUM(G667:G668)</f>
        <v>6500</v>
      </c>
      <c r="H665" s="138">
        <f>SUM(H667:H668)</f>
        <v>4500</v>
      </c>
      <c r="I665" s="203">
        <f t="shared" si="35"/>
        <v>0.6923076923076923</v>
      </c>
      <c r="J665" s="203">
        <f t="shared" si="34"/>
        <v>9.788874426491601E-05</v>
      </c>
    </row>
    <row r="666" spans="1:10" ht="12.75">
      <c r="A666" s="158">
        <f t="shared" si="32"/>
        <v>598</v>
      </c>
      <c r="B666" s="4"/>
      <c r="C666" s="79" t="s">
        <v>15</v>
      </c>
      <c r="D666" s="25"/>
      <c r="E666" s="46"/>
      <c r="F666" s="138"/>
      <c r="G666" s="138"/>
      <c r="H666" s="138"/>
      <c r="I666" s="203"/>
      <c r="J666" s="203"/>
    </row>
    <row r="667" spans="1:10" ht="12.75">
      <c r="A667" s="158">
        <f t="shared" si="32"/>
        <v>599</v>
      </c>
      <c r="B667" s="4"/>
      <c r="C667" s="79" t="s">
        <v>147</v>
      </c>
      <c r="D667" s="25"/>
      <c r="E667" s="46"/>
      <c r="F667" s="138">
        <v>3000</v>
      </c>
      <c r="G667" s="138">
        <v>3000</v>
      </c>
      <c r="H667" s="138">
        <v>2000</v>
      </c>
      <c r="I667" s="203">
        <f t="shared" si="35"/>
        <v>0.6666666666666666</v>
      </c>
      <c r="J667" s="203">
        <f t="shared" si="34"/>
        <v>4.350610856218489E-05</v>
      </c>
    </row>
    <row r="668" spans="1:10" ht="12.75">
      <c r="A668" s="158">
        <f t="shared" si="32"/>
        <v>600</v>
      </c>
      <c r="B668" s="4"/>
      <c r="C668" s="79" t="s">
        <v>148</v>
      </c>
      <c r="D668" s="25"/>
      <c r="E668" s="46"/>
      <c r="F668" s="138">
        <v>3500</v>
      </c>
      <c r="G668" s="138">
        <v>3500</v>
      </c>
      <c r="H668" s="138">
        <v>2500</v>
      </c>
      <c r="I668" s="203">
        <f t="shared" si="35"/>
        <v>0.7142857142857143</v>
      </c>
      <c r="J668" s="203">
        <f t="shared" si="34"/>
        <v>5.438263570273111E-05</v>
      </c>
    </row>
    <row r="669" spans="1:10" ht="12.75">
      <c r="A669" s="158">
        <f t="shared" si="32"/>
        <v>601</v>
      </c>
      <c r="B669" s="4">
        <v>4750</v>
      </c>
      <c r="C669" s="79" t="s">
        <v>311</v>
      </c>
      <c r="D669" s="25"/>
      <c r="E669" s="46"/>
      <c r="F669" s="138"/>
      <c r="G669" s="138"/>
      <c r="H669" s="138"/>
      <c r="I669" s="203"/>
      <c r="J669" s="203"/>
    </row>
    <row r="670" spans="1:10" ht="12.75">
      <c r="A670" s="158">
        <f t="shared" si="32"/>
        <v>602</v>
      </c>
      <c r="B670" s="4"/>
      <c r="C670" s="79" t="s">
        <v>312</v>
      </c>
      <c r="D670" s="25"/>
      <c r="E670" s="46"/>
      <c r="F670" s="138">
        <f>SUM(F672:F673)</f>
        <v>28600</v>
      </c>
      <c r="G670" s="138">
        <f>SUM(G672:G673)</f>
        <v>28600</v>
      </c>
      <c r="H670" s="138">
        <f>SUM(H672:H673)</f>
        <v>21600</v>
      </c>
      <c r="I670" s="203">
        <f t="shared" si="35"/>
        <v>0.7552447552447552</v>
      </c>
      <c r="J670" s="203">
        <f t="shared" si="34"/>
        <v>0.0004698659724715968</v>
      </c>
    </row>
    <row r="671" spans="1:10" ht="12.75">
      <c r="A671" s="158">
        <f aca="true" t="shared" si="36" ref="A671:A736">A670+1</f>
        <v>603</v>
      </c>
      <c r="B671" s="4"/>
      <c r="C671" s="79" t="s">
        <v>15</v>
      </c>
      <c r="D671" s="25"/>
      <c r="E671" s="46"/>
      <c r="F671" s="138"/>
      <c r="G671" s="138"/>
      <c r="H671" s="138"/>
      <c r="I671" s="203"/>
      <c r="J671" s="203"/>
    </row>
    <row r="672" spans="1:10" ht="12.75">
      <c r="A672" s="158">
        <f t="shared" si="36"/>
        <v>604</v>
      </c>
      <c r="B672" s="4"/>
      <c r="C672" s="79" t="s">
        <v>147</v>
      </c>
      <c r="D672" s="25"/>
      <c r="E672" s="46"/>
      <c r="F672" s="138">
        <v>27000</v>
      </c>
      <c r="G672" s="138">
        <v>27000</v>
      </c>
      <c r="H672" s="138">
        <v>20000</v>
      </c>
      <c r="I672" s="203">
        <f t="shared" si="35"/>
        <v>0.7407407407407407</v>
      </c>
      <c r="J672" s="203">
        <f t="shared" si="34"/>
        <v>0.0004350610856218489</v>
      </c>
    </row>
    <row r="673" spans="1:10" ht="12.75">
      <c r="A673" s="158">
        <f t="shared" si="36"/>
        <v>605</v>
      </c>
      <c r="B673" s="4"/>
      <c r="C673" s="79" t="s">
        <v>148</v>
      </c>
      <c r="D673" s="25"/>
      <c r="E673" s="46"/>
      <c r="F673" s="138">
        <v>1600</v>
      </c>
      <c r="G673" s="138">
        <v>1600</v>
      </c>
      <c r="H673" s="138">
        <v>1600</v>
      </c>
      <c r="I673" s="203">
        <f t="shared" si="35"/>
        <v>1</v>
      </c>
      <c r="J673" s="203">
        <f t="shared" si="34"/>
        <v>3.480488684974791E-05</v>
      </c>
    </row>
    <row r="674" spans="1:10" ht="11.25" customHeight="1">
      <c r="A674" s="158">
        <f t="shared" si="36"/>
        <v>606</v>
      </c>
      <c r="B674" s="4">
        <v>6050</v>
      </c>
      <c r="C674" s="79" t="s">
        <v>209</v>
      </c>
      <c r="D674" s="25"/>
      <c r="E674" s="46"/>
      <c r="F674" s="138"/>
      <c r="G674" s="138"/>
      <c r="H674" s="138"/>
      <c r="I674" s="203"/>
      <c r="J674" s="203"/>
    </row>
    <row r="675" spans="1:10" ht="12.75">
      <c r="A675" s="158">
        <f t="shared" si="36"/>
        <v>607</v>
      </c>
      <c r="B675" s="4"/>
      <c r="C675" s="79" t="s">
        <v>146</v>
      </c>
      <c r="D675" s="25"/>
      <c r="E675" s="45">
        <f>SUM(E677:E677)</f>
        <v>3900</v>
      </c>
      <c r="F675" s="28">
        <f>SUM(F677:F677)</f>
        <v>145000</v>
      </c>
      <c r="G675" s="28">
        <f>SUM(G677:G677)</f>
        <v>145000</v>
      </c>
      <c r="H675" s="28">
        <f>SUM(H677:H677)</f>
        <v>0</v>
      </c>
      <c r="I675" s="203">
        <f t="shared" si="35"/>
        <v>0</v>
      </c>
      <c r="J675" s="203">
        <f t="shared" si="34"/>
        <v>0</v>
      </c>
    </row>
    <row r="676" spans="1:10" ht="12.75">
      <c r="A676" s="158">
        <f t="shared" si="36"/>
        <v>608</v>
      </c>
      <c r="B676" s="4"/>
      <c r="C676" s="79" t="s">
        <v>15</v>
      </c>
      <c r="D676" s="25"/>
      <c r="E676" s="46"/>
      <c r="F676" s="138"/>
      <c r="G676" s="138"/>
      <c r="H676" s="138"/>
      <c r="I676" s="203"/>
      <c r="J676" s="203"/>
    </row>
    <row r="677" spans="1:10" ht="12.75">
      <c r="A677" s="158">
        <f t="shared" si="36"/>
        <v>609</v>
      </c>
      <c r="B677" s="4"/>
      <c r="C677" s="79" t="s">
        <v>457</v>
      </c>
      <c r="D677" s="25"/>
      <c r="E677" s="46">
        <v>3900</v>
      </c>
      <c r="F677" s="138">
        <v>145000</v>
      </c>
      <c r="G677" s="138">
        <v>145000</v>
      </c>
      <c r="H677" s="138">
        <v>0</v>
      </c>
      <c r="I677" s="203">
        <f t="shared" si="35"/>
        <v>0</v>
      </c>
      <c r="J677" s="203">
        <f t="shared" si="34"/>
        <v>0</v>
      </c>
    </row>
    <row r="678" spans="1:10" ht="12.75">
      <c r="A678" s="158">
        <f t="shared" si="36"/>
        <v>610</v>
      </c>
      <c r="B678" s="4">
        <v>6060</v>
      </c>
      <c r="C678" s="79" t="s">
        <v>210</v>
      </c>
      <c r="D678" s="25"/>
      <c r="E678" s="46"/>
      <c r="F678" s="138"/>
      <c r="G678" s="138"/>
      <c r="H678" s="138"/>
      <c r="I678" s="203"/>
      <c r="J678" s="203"/>
    </row>
    <row r="679" spans="1:10" ht="12.75">
      <c r="A679" s="158">
        <f t="shared" si="36"/>
        <v>611</v>
      </c>
      <c r="B679" s="4"/>
      <c r="C679" s="79" t="s">
        <v>458</v>
      </c>
      <c r="D679" s="25"/>
      <c r="E679" s="46"/>
      <c r="F679" s="138">
        <v>5000</v>
      </c>
      <c r="G679" s="138">
        <v>5000</v>
      </c>
      <c r="H679" s="138">
        <v>0</v>
      </c>
      <c r="I679" s="203">
        <f t="shared" si="35"/>
        <v>0</v>
      </c>
      <c r="J679" s="203">
        <f t="shared" si="34"/>
        <v>0</v>
      </c>
    </row>
    <row r="680" spans="1:10" s="73" customFormat="1" ht="12.75">
      <c r="A680" s="158">
        <f t="shared" si="36"/>
        <v>612</v>
      </c>
      <c r="B680" s="62">
        <v>80103</v>
      </c>
      <c r="C680" s="68" t="s">
        <v>262</v>
      </c>
      <c r="D680" s="63"/>
      <c r="E680" s="72"/>
      <c r="F680" s="148"/>
      <c r="G680" s="148"/>
      <c r="H680" s="148"/>
      <c r="I680" s="203"/>
      <c r="J680" s="203"/>
    </row>
    <row r="681" spans="1:10" s="73" customFormat="1" ht="12.75">
      <c r="A681" s="158">
        <f t="shared" si="36"/>
        <v>613</v>
      </c>
      <c r="B681" s="133"/>
      <c r="C681" s="68" t="s">
        <v>261</v>
      </c>
      <c r="D681" s="63"/>
      <c r="E681" s="72"/>
      <c r="F681" s="148">
        <f>SUM(F682:F687)</f>
        <v>35920</v>
      </c>
      <c r="G681" s="148">
        <f>SUM(G682:G687)</f>
        <v>35793.1</v>
      </c>
      <c r="H681" s="148">
        <f>SUM(H682:H687)</f>
        <v>41915</v>
      </c>
      <c r="I681" s="203">
        <f t="shared" si="35"/>
        <v>1.1710357582886088</v>
      </c>
      <c r="J681" s="203">
        <f aca="true" t="shared" si="37" ref="J681:J746">H681/$H$1363</f>
        <v>0.0009117792701919898</v>
      </c>
    </row>
    <row r="682" spans="1:10" ht="12.75">
      <c r="A682" s="158">
        <f t="shared" si="36"/>
        <v>614</v>
      </c>
      <c r="B682" s="4">
        <v>3020</v>
      </c>
      <c r="C682" s="79" t="s">
        <v>238</v>
      </c>
      <c r="D682" s="25"/>
      <c r="E682" s="45">
        <v>2700</v>
      </c>
      <c r="F682" s="138">
        <v>2507</v>
      </c>
      <c r="G682" s="138">
        <v>2507</v>
      </c>
      <c r="H682" s="138">
        <v>2690</v>
      </c>
      <c r="I682" s="203">
        <f t="shared" si="35"/>
        <v>1.0729956122856004</v>
      </c>
      <c r="J682" s="203">
        <f t="shared" si="37"/>
        <v>5.851571601613868E-05</v>
      </c>
    </row>
    <row r="683" spans="1:10" ht="12.75">
      <c r="A683" s="158">
        <f t="shared" si="36"/>
        <v>615</v>
      </c>
      <c r="B683" s="4">
        <v>4010</v>
      </c>
      <c r="C683" s="79" t="s">
        <v>27</v>
      </c>
      <c r="D683" s="25"/>
      <c r="E683" s="45">
        <v>65850</v>
      </c>
      <c r="F683" s="138">
        <v>23820</v>
      </c>
      <c r="G683" s="138">
        <v>23820</v>
      </c>
      <c r="H683" s="138">
        <v>29950</v>
      </c>
      <c r="I683" s="203">
        <f t="shared" si="35"/>
        <v>1.2573467674223342</v>
      </c>
      <c r="J683" s="203">
        <f t="shared" si="37"/>
        <v>0.0006515039757187187</v>
      </c>
    </row>
    <row r="684" spans="1:10" ht="12.75">
      <c r="A684" s="158">
        <f t="shared" si="36"/>
        <v>616</v>
      </c>
      <c r="B684" s="4">
        <v>4040</v>
      </c>
      <c r="C684" s="79" t="s">
        <v>28</v>
      </c>
      <c r="D684" s="25"/>
      <c r="E684" s="45">
        <v>5000</v>
      </c>
      <c r="F684" s="138">
        <v>1960</v>
      </c>
      <c r="G684" s="138">
        <v>1833.1</v>
      </c>
      <c r="H684" s="138">
        <v>1920</v>
      </c>
      <c r="I684" s="203">
        <f t="shared" si="35"/>
        <v>1.0474060334951723</v>
      </c>
      <c r="J684" s="203">
        <f t="shared" si="37"/>
        <v>4.17658642196975E-05</v>
      </c>
    </row>
    <row r="685" spans="1:10" ht="12.75">
      <c r="A685" s="158">
        <f t="shared" si="36"/>
        <v>617</v>
      </c>
      <c r="B685" s="4">
        <v>4110</v>
      </c>
      <c r="C685" s="79" t="s">
        <v>32</v>
      </c>
      <c r="D685" s="25"/>
      <c r="E685" s="45">
        <v>12930</v>
      </c>
      <c r="F685" s="138">
        <v>4960</v>
      </c>
      <c r="G685" s="138">
        <v>4960</v>
      </c>
      <c r="H685" s="138">
        <v>4460</v>
      </c>
      <c r="I685" s="203">
        <f t="shared" si="35"/>
        <v>0.8991935483870968</v>
      </c>
      <c r="J685" s="203">
        <f t="shared" si="37"/>
        <v>9.701862209367231E-05</v>
      </c>
    </row>
    <row r="686" spans="1:10" ht="12.75">
      <c r="A686" s="158">
        <f t="shared" si="36"/>
        <v>618</v>
      </c>
      <c r="B686" s="4">
        <v>4120</v>
      </c>
      <c r="C686" s="79" t="s">
        <v>33</v>
      </c>
      <c r="D686" s="25"/>
      <c r="E686" s="45">
        <v>1800</v>
      </c>
      <c r="F686" s="138">
        <v>698</v>
      </c>
      <c r="G686" s="138">
        <v>698</v>
      </c>
      <c r="H686" s="138">
        <v>710</v>
      </c>
      <c r="I686" s="203">
        <f t="shared" si="35"/>
        <v>1.0171919770773639</v>
      </c>
      <c r="J686" s="203">
        <f t="shared" si="37"/>
        <v>1.5444668539575638E-05</v>
      </c>
    </row>
    <row r="687" spans="1:10" ht="12.75">
      <c r="A687" s="158">
        <f t="shared" si="36"/>
        <v>619</v>
      </c>
      <c r="B687" s="4">
        <v>4440</v>
      </c>
      <c r="C687" s="79" t="s">
        <v>45</v>
      </c>
      <c r="D687" s="25"/>
      <c r="E687" s="45">
        <v>4320</v>
      </c>
      <c r="F687" s="138">
        <v>1975</v>
      </c>
      <c r="G687" s="138">
        <v>1975</v>
      </c>
      <c r="H687" s="138">
        <v>2185</v>
      </c>
      <c r="I687" s="203">
        <f t="shared" si="35"/>
        <v>1.1063291139240505</v>
      </c>
      <c r="J687" s="203">
        <f t="shared" si="37"/>
        <v>4.753042360418699E-05</v>
      </c>
    </row>
    <row r="688" spans="1:10" s="73" customFormat="1" ht="12.75">
      <c r="A688" s="158">
        <f t="shared" si="36"/>
        <v>620</v>
      </c>
      <c r="B688" s="62">
        <v>80104</v>
      </c>
      <c r="C688" s="68" t="s">
        <v>203</v>
      </c>
      <c r="D688" s="63"/>
      <c r="E688" s="64">
        <f>SUM(E689:E708)</f>
        <v>92600</v>
      </c>
      <c r="F688" s="63">
        <f>SUM(F689:F717)</f>
        <v>1419228</v>
      </c>
      <c r="G688" s="63">
        <f>SUM(G689:G717)</f>
        <v>1416915.6</v>
      </c>
      <c r="H688" s="63">
        <f>SUM(H689:H717)</f>
        <v>1352717</v>
      </c>
      <c r="I688" s="203">
        <f t="shared" si="35"/>
        <v>0.9546913027141489</v>
      </c>
      <c r="J688" s="203">
        <f t="shared" si="37"/>
        <v>0.02942572632795653</v>
      </c>
    </row>
    <row r="689" spans="1:10" ht="12.75">
      <c r="A689" s="158">
        <f t="shared" si="36"/>
        <v>621</v>
      </c>
      <c r="B689" s="4">
        <v>3020</v>
      </c>
      <c r="C689" s="79" t="s">
        <v>238</v>
      </c>
      <c r="D689" s="25"/>
      <c r="E689" s="45">
        <v>2700</v>
      </c>
      <c r="F689" s="138">
        <v>3800</v>
      </c>
      <c r="G689" s="138">
        <v>3800</v>
      </c>
      <c r="H689" s="138">
        <v>3800</v>
      </c>
      <c r="I689" s="203">
        <f t="shared" si="35"/>
        <v>1</v>
      </c>
      <c r="J689" s="203">
        <f t="shared" si="37"/>
        <v>8.26616062681513E-05</v>
      </c>
    </row>
    <row r="690" spans="1:10" ht="12.75">
      <c r="A690" s="158">
        <f t="shared" si="36"/>
        <v>622</v>
      </c>
      <c r="B690" s="4">
        <v>4010</v>
      </c>
      <c r="C690" s="79" t="s">
        <v>27</v>
      </c>
      <c r="D690" s="25"/>
      <c r="E690" s="45">
        <v>65850</v>
      </c>
      <c r="F690" s="138">
        <f>739268+1500</f>
        <v>740768</v>
      </c>
      <c r="G690" s="138">
        <v>740768</v>
      </c>
      <c r="H690" s="138">
        <v>784597</v>
      </c>
      <c r="I690" s="203">
        <f t="shared" si="35"/>
        <v>1.0591669726554063</v>
      </c>
      <c r="J690" s="203">
        <f t="shared" si="37"/>
        <v>0.01706738112978229</v>
      </c>
    </row>
    <row r="691" spans="1:10" ht="12.75">
      <c r="A691" s="158">
        <f t="shared" si="36"/>
        <v>623</v>
      </c>
      <c r="B691" s="4">
        <v>4040</v>
      </c>
      <c r="C691" s="79" t="s">
        <v>28</v>
      </c>
      <c r="D691" s="25"/>
      <c r="E691" s="45">
        <v>5000</v>
      </c>
      <c r="F691" s="138">
        <v>50410</v>
      </c>
      <c r="G691" s="138">
        <v>50407.6</v>
      </c>
      <c r="H691" s="138">
        <v>57000</v>
      </c>
      <c r="I691" s="203">
        <f t="shared" si="35"/>
        <v>1.1307818662265214</v>
      </c>
      <c r="J691" s="203">
        <f t="shared" si="37"/>
        <v>0.0012399240940222695</v>
      </c>
    </row>
    <row r="692" spans="1:10" ht="12.75">
      <c r="A692" s="158">
        <f t="shared" si="36"/>
        <v>624</v>
      </c>
      <c r="B692" s="4">
        <v>4110</v>
      </c>
      <c r="C692" s="79" t="s">
        <v>32</v>
      </c>
      <c r="D692" s="25"/>
      <c r="E692" s="45">
        <v>12930</v>
      </c>
      <c r="F692" s="138">
        <v>135650</v>
      </c>
      <c r="G692" s="138">
        <v>135650</v>
      </c>
      <c r="H692" s="138">
        <v>114300</v>
      </c>
      <c r="I692" s="203">
        <f t="shared" si="35"/>
        <v>0.842609657206045</v>
      </c>
      <c r="J692" s="203">
        <f t="shared" si="37"/>
        <v>0.0024863741043288667</v>
      </c>
    </row>
    <row r="693" spans="1:10" ht="12.75">
      <c r="A693" s="158">
        <f t="shared" si="36"/>
        <v>625</v>
      </c>
      <c r="B693" s="4">
        <v>4120</v>
      </c>
      <c r="C693" s="79" t="s">
        <v>33</v>
      </c>
      <c r="D693" s="25"/>
      <c r="E693" s="45">
        <v>1800</v>
      </c>
      <c r="F693" s="138">
        <v>18750</v>
      </c>
      <c r="G693" s="138">
        <v>18750</v>
      </c>
      <c r="H693" s="138">
        <v>19400</v>
      </c>
      <c r="I693" s="203">
        <f t="shared" si="35"/>
        <v>1.0346666666666666</v>
      </c>
      <c r="J693" s="203">
        <f t="shared" si="37"/>
        <v>0.00042200925305319346</v>
      </c>
    </row>
    <row r="694" spans="1:10" ht="12.75">
      <c r="A694" s="158">
        <f t="shared" si="36"/>
        <v>626</v>
      </c>
      <c r="B694" s="4">
        <v>4140</v>
      </c>
      <c r="C694" s="79" t="s">
        <v>159</v>
      </c>
      <c r="D694" s="25"/>
      <c r="E694" s="45"/>
      <c r="F694" s="138">
        <v>17590</v>
      </c>
      <c r="G694" s="138">
        <v>17590</v>
      </c>
      <c r="H694" s="138">
        <v>8400</v>
      </c>
      <c r="I694" s="203">
        <f t="shared" si="35"/>
        <v>0.47754405912450254</v>
      </c>
      <c r="J694" s="203">
        <f t="shared" si="37"/>
        <v>0.00018272565596117655</v>
      </c>
    </row>
    <row r="695" spans="1:10" ht="12.75">
      <c r="A695" s="158">
        <f t="shared" si="36"/>
        <v>627</v>
      </c>
      <c r="B695" s="4">
        <v>4210</v>
      </c>
      <c r="C695" s="79" t="s">
        <v>136</v>
      </c>
      <c r="D695" s="25"/>
      <c r="E695" s="45"/>
      <c r="F695" s="138">
        <v>50000</v>
      </c>
      <c r="G695" s="138">
        <v>50000</v>
      </c>
      <c r="H695" s="138">
        <v>50200</v>
      </c>
      <c r="I695" s="203">
        <f t="shared" si="35"/>
        <v>1.004</v>
      </c>
      <c r="J695" s="203">
        <f t="shared" si="37"/>
        <v>0.0010920033249108407</v>
      </c>
    </row>
    <row r="696" spans="1:10" ht="12.75">
      <c r="A696" s="158">
        <f t="shared" si="36"/>
        <v>628</v>
      </c>
      <c r="B696" s="4">
        <v>4220</v>
      </c>
      <c r="C696" s="79" t="s">
        <v>141</v>
      </c>
      <c r="D696" s="25"/>
      <c r="E696" s="45"/>
      <c r="F696" s="138">
        <v>123680</v>
      </c>
      <c r="G696" s="138">
        <v>123680</v>
      </c>
      <c r="H696" s="138">
        <v>128800</v>
      </c>
      <c r="I696" s="203">
        <f t="shared" si="35"/>
        <v>1.0413971539456663</v>
      </c>
      <c r="J696" s="203">
        <f t="shared" si="37"/>
        <v>0.002801793391404707</v>
      </c>
    </row>
    <row r="697" spans="1:10" ht="12.75">
      <c r="A697" s="158">
        <f t="shared" si="36"/>
        <v>629</v>
      </c>
      <c r="B697" s="4">
        <v>4240</v>
      </c>
      <c r="C697" s="79" t="s">
        <v>142</v>
      </c>
      <c r="D697" s="25"/>
      <c r="E697" s="45"/>
      <c r="F697" s="138"/>
      <c r="G697" s="138"/>
      <c r="H697" s="138"/>
      <c r="I697" s="203"/>
      <c r="J697" s="203"/>
    </row>
    <row r="698" spans="1:10" ht="12.75">
      <c r="A698" s="158">
        <f t="shared" si="36"/>
        <v>630</v>
      </c>
      <c r="B698" s="4"/>
      <c r="C698" s="79" t="s">
        <v>143</v>
      </c>
      <c r="D698" s="25"/>
      <c r="E698" s="45"/>
      <c r="F698" s="138">
        <v>10000</v>
      </c>
      <c r="G698" s="138">
        <v>10000</v>
      </c>
      <c r="H698" s="138">
        <v>15000</v>
      </c>
      <c r="I698" s="203">
        <f t="shared" si="35"/>
        <v>1.5</v>
      </c>
      <c r="J698" s="203">
        <f t="shared" si="37"/>
        <v>0.0003262958142163867</v>
      </c>
    </row>
    <row r="699" spans="1:10" ht="12.75">
      <c r="A699" s="158">
        <f t="shared" si="36"/>
        <v>631</v>
      </c>
      <c r="B699" s="4">
        <v>4260</v>
      </c>
      <c r="C699" s="79" t="s">
        <v>138</v>
      </c>
      <c r="D699" s="25"/>
      <c r="E699" s="45"/>
      <c r="F699" s="138">
        <v>80800</v>
      </c>
      <c r="G699" s="138">
        <v>80800</v>
      </c>
      <c r="H699" s="138">
        <v>66600</v>
      </c>
      <c r="I699" s="203">
        <f t="shared" si="35"/>
        <v>0.8242574257425742</v>
      </c>
      <c r="J699" s="203">
        <f t="shared" si="37"/>
        <v>0.0014487534151207569</v>
      </c>
    </row>
    <row r="700" spans="1:10" ht="12.75">
      <c r="A700" s="158">
        <f t="shared" si="36"/>
        <v>632</v>
      </c>
      <c r="B700" s="4">
        <v>4270</v>
      </c>
      <c r="C700" s="79" t="s">
        <v>135</v>
      </c>
      <c r="D700" s="25"/>
      <c r="E700" s="45"/>
      <c r="F700" s="138">
        <v>42000</v>
      </c>
      <c r="G700" s="138">
        <v>42000</v>
      </c>
      <c r="H700" s="138">
        <v>29840</v>
      </c>
      <c r="I700" s="203">
        <f t="shared" si="35"/>
        <v>0.7104761904761905</v>
      </c>
      <c r="J700" s="203">
        <f t="shared" si="37"/>
        <v>0.0006491111397477986</v>
      </c>
    </row>
    <row r="701" spans="1:10" ht="12.75">
      <c r="A701" s="158">
        <f t="shared" si="36"/>
        <v>633</v>
      </c>
      <c r="B701" s="4">
        <v>4280</v>
      </c>
      <c r="C701" s="79" t="s">
        <v>286</v>
      </c>
      <c r="D701" s="25"/>
      <c r="E701" s="45"/>
      <c r="F701" s="138">
        <v>980</v>
      </c>
      <c r="G701" s="138">
        <v>980</v>
      </c>
      <c r="H701" s="138">
        <v>1200</v>
      </c>
      <c r="I701" s="203">
        <f t="shared" si="35"/>
        <v>1.2244897959183674</v>
      </c>
      <c r="J701" s="203">
        <f t="shared" si="37"/>
        <v>2.6103665137310935E-05</v>
      </c>
    </row>
    <row r="702" spans="1:10" ht="12.75">
      <c r="A702" s="158">
        <f t="shared" si="36"/>
        <v>634</v>
      </c>
      <c r="B702" s="4">
        <v>4300</v>
      </c>
      <c r="C702" s="79" t="s">
        <v>145</v>
      </c>
      <c r="D702" s="25"/>
      <c r="E702" s="45"/>
      <c r="F702" s="138">
        <v>15000</v>
      </c>
      <c r="G702" s="138">
        <v>15000</v>
      </c>
      <c r="H702" s="138">
        <v>17200</v>
      </c>
      <c r="I702" s="203">
        <f t="shared" si="35"/>
        <v>1.1466666666666667</v>
      </c>
      <c r="J702" s="203">
        <f t="shared" si="37"/>
        <v>0.00037415253363479005</v>
      </c>
    </row>
    <row r="703" spans="1:10" ht="12.75">
      <c r="A703" s="158">
        <f t="shared" si="36"/>
        <v>635</v>
      </c>
      <c r="B703" s="4">
        <v>4350</v>
      </c>
      <c r="C703" s="79" t="s">
        <v>331</v>
      </c>
      <c r="D703" s="25"/>
      <c r="E703" s="45"/>
      <c r="F703" s="138">
        <v>900</v>
      </c>
      <c r="G703" s="138">
        <v>900</v>
      </c>
      <c r="H703" s="138">
        <v>900</v>
      </c>
      <c r="I703" s="203">
        <f t="shared" si="35"/>
        <v>1</v>
      </c>
      <c r="J703" s="203">
        <f t="shared" si="37"/>
        <v>1.95777488529832E-05</v>
      </c>
    </row>
    <row r="704" spans="1:10" ht="12.75">
      <c r="A704" s="158">
        <f t="shared" si="36"/>
        <v>636</v>
      </c>
      <c r="B704" s="4">
        <v>4370</v>
      </c>
      <c r="C704" s="79" t="s">
        <v>320</v>
      </c>
      <c r="D704" s="25"/>
      <c r="E704" s="45"/>
      <c r="F704" s="138"/>
      <c r="G704" s="138"/>
      <c r="H704" s="138"/>
      <c r="I704" s="203"/>
      <c r="J704" s="203"/>
    </row>
    <row r="705" spans="1:10" ht="12.75">
      <c r="A705" s="158">
        <f t="shared" si="36"/>
        <v>637</v>
      </c>
      <c r="B705" s="4"/>
      <c r="C705" s="79" t="s">
        <v>339</v>
      </c>
      <c r="D705" s="25"/>
      <c r="E705" s="45"/>
      <c r="F705" s="138">
        <v>5200</v>
      </c>
      <c r="G705" s="138">
        <v>5200</v>
      </c>
      <c r="H705" s="138">
        <v>6000</v>
      </c>
      <c r="I705" s="203">
        <f t="shared" si="35"/>
        <v>1.1538461538461537</v>
      </c>
      <c r="J705" s="203">
        <f t="shared" si="37"/>
        <v>0.00013051832568655467</v>
      </c>
    </row>
    <row r="706" spans="1:10" ht="12.75">
      <c r="A706" s="158">
        <f t="shared" si="36"/>
        <v>638</v>
      </c>
      <c r="B706" s="4">
        <v>4410</v>
      </c>
      <c r="C706" s="79" t="s">
        <v>29</v>
      </c>
      <c r="D706" s="25"/>
      <c r="E706" s="45"/>
      <c r="F706" s="138">
        <v>900</v>
      </c>
      <c r="G706" s="138">
        <v>900</v>
      </c>
      <c r="H706" s="138">
        <v>1200</v>
      </c>
      <c r="I706" s="203">
        <f t="shared" si="35"/>
        <v>1.3333333333333333</v>
      </c>
      <c r="J706" s="203">
        <f t="shared" si="37"/>
        <v>2.6103665137310935E-05</v>
      </c>
    </row>
    <row r="707" spans="1:10" ht="12.75">
      <c r="A707" s="158">
        <f t="shared" si="36"/>
        <v>639</v>
      </c>
      <c r="B707" s="4">
        <v>4430</v>
      </c>
      <c r="C707" s="79" t="s">
        <v>40</v>
      </c>
      <c r="D707" s="25"/>
      <c r="E707" s="45"/>
      <c r="F707" s="138">
        <v>2220</v>
      </c>
      <c r="G707" s="138">
        <v>2220</v>
      </c>
      <c r="H707" s="138">
        <v>1280</v>
      </c>
      <c r="I707" s="203">
        <f t="shared" si="35"/>
        <v>0.5765765765765766</v>
      </c>
      <c r="J707" s="203">
        <f t="shared" si="37"/>
        <v>2.784390947979833E-05</v>
      </c>
    </row>
    <row r="708" spans="1:10" ht="12.75">
      <c r="A708" s="158">
        <f t="shared" si="36"/>
        <v>640</v>
      </c>
      <c r="B708" s="4">
        <v>4440</v>
      </c>
      <c r="C708" s="79" t="s">
        <v>45</v>
      </c>
      <c r="D708" s="25"/>
      <c r="E708" s="45">
        <v>4320</v>
      </c>
      <c r="F708" s="138">
        <v>40190</v>
      </c>
      <c r="G708" s="138">
        <v>40190</v>
      </c>
      <c r="H708" s="138">
        <v>43500</v>
      </c>
      <c r="I708" s="203">
        <f t="shared" si="35"/>
        <v>1.0823587957203284</v>
      </c>
      <c r="J708" s="203">
        <f t="shared" si="37"/>
        <v>0.0009462578612275214</v>
      </c>
    </row>
    <row r="709" spans="1:10" ht="12.75">
      <c r="A709" s="158">
        <f t="shared" si="36"/>
        <v>641</v>
      </c>
      <c r="B709" s="4">
        <v>4700</v>
      </c>
      <c r="C709" s="79" t="s">
        <v>342</v>
      </c>
      <c r="D709" s="25"/>
      <c r="E709" s="45"/>
      <c r="F709" s="138"/>
      <c r="G709" s="138"/>
      <c r="H709" s="138"/>
      <c r="I709" s="203"/>
      <c r="J709" s="203"/>
    </row>
    <row r="710" spans="1:10" ht="12.75">
      <c r="A710" s="158">
        <f t="shared" si="36"/>
        <v>642</v>
      </c>
      <c r="B710" s="4"/>
      <c r="C710" s="79" t="s">
        <v>341</v>
      </c>
      <c r="D710" s="25"/>
      <c r="E710" s="45"/>
      <c r="F710" s="138">
        <v>600</v>
      </c>
      <c r="G710" s="138">
        <v>600</v>
      </c>
      <c r="H710" s="138">
        <v>1200</v>
      </c>
      <c r="I710" s="203">
        <f t="shared" si="35"/>
        <v>2</v>
      </c>
      <c r="J710" s="203">
        <f t="shared" si="37"/>
        <v>2.6103665137310935E-05</v>
      </c>
    </row>
    <row r="711" spans="1:10" ht="12.75">
      <c r="A711" s="158">
        <f t="shared" si="36"/>
        <v>643</v>
      </c>
      <c r="B711" s="4">
        <v>4740</v>
      </c>
      <c r="C711" s="79" t="s">
        <v>309</v>
      </c>
      <c r="D711" s="25"/>
      <c r="E711" s="45"/>
      <c r="F711" s="138"/>
      <c r="G711" s="138"/>
      <c r="H711" s="138"/>
      <c r="I711" s="203"/>
      <c r="J711" s="203"/>
    </row>
    <row r="712" spans="1:10" ht="12.75">
      <c r="A712" s="158">
        <f t="shared" si="36"/>
        <v>644</v>
      </c>
      <c r="B712" s="4"/>
      <c r="C712" s="79" t="s">
        <v>310</v>
      </c>
      <c r="D712" s="25"/>
      <c r="E712" s="45"/>
      <c r="F712" s="138">
        <v>790</v>
      </c>
      <c r="G712" s="138">
        <v>790</v>
      </c>
      <c r="H712" s="138">
        <v>800</v>
      </c>
      <c r="I712" s="203">
        <f t="shared" si="35"/>
        <v>1.0126582278481013</v>
      </c>
      <c r="J712" s="203">
        <f t="shared" si="37"/>
        <v>1.7402443424873955E-05</v>
      </c>
    </row>
    <row r="713" spans="1:10" ht="12.75">
      <c r="A713" s="158">
        <f t="shared" si="36"/>
        <v>645</v>
      </c>
      <c r="B713" s="4">
        <v>4750</v>
      </c>
      <c r="C713" s="79" t="s">
        <v>311</v>
      </c>
      <c r="D713" s="25"/>
      <c r="E713" s="45"/>
      <c r="F713" s="138"/>
      <c r="G713" s="138"/>
      <c r="H713" s="138"/>
      <c r="I713" s="203"/>
      <c r="J713" s="203"/>
    </row>
    <row r="714" spans="1:10" ht="12.75">
      <c r="A714" s="158">
        <f t="shared" si="36"/>
        <v>646</v>
      </c>
      <c r="B714" s="4"/>
      <c r="C714" s="79" t="s">
        <v>312</v>
      </c>
      <c r="D714" s="25"/>
      <c r="E714" s="45"/>
      <c r="F714" s="138">
        <v>1500</v>
      </c>
      <c r="G714" s="138">
        <v>1500</v>
      </c>
      <c r="H714" s="138">
        <v>1500</v>
      </c>
      <c r="I714" s="203">
        <f t="shared" si="35"/>
        <v>1</v>
      </c>
      <c r="J714" s="203">
        <f t="shared" si="37"/>
        <v>3.262958142163867E-05</v>
      </c>
    </row>
    <row r="715" spans="1:10" ht="12.75">
      <c r="A715" s="158">
        <f t="shared" si="36"/>
        <v>647</v>
      </c>
      <c r="B715" s="4">
        <v>6050</v>
      </c>
      <c r="C715" s="79" t="s">
        <v>191</v>
      </c>
      <c r="D715" s="25"/>
      <c r="E715" s="45"/>
      <c r="F715" s="138"/>
      <c r="G715" s="138"/>
      <c r="H715" s="138"/>
      <c r="I715" s="203"/>
      <c r="J715" s="203"/>
    </row>
    <row r="716" spans="1:10" ht="12.75">
      <c r="A716" s="158">
        <f t="shared" si="36"/>
        <v>648</v>
      </c>
      <c r="B716" s="4"/>
      <c r="C716" s="79" t="s">
        <v>553</v>
      </c>
      <c r="D716" s="25"/>
      <c r="E716" s="45"/>
      <c r="F716" s="138">
        <v>64000</v>
      </c>
      <c r="G716" s="138">
        <v>64000</v>
      </c>
      <c r="H716" s="138">
        <v>0</v>
      </c>
      <c r="I716" s="203"/>
      <c r="J716" s="203">
        <f t="shared" si="37"/>
        <v>0</v>
      </c>
    </row>
    <row r="717" spans="1:10" ht="12.75">
      <c r="A717" s="158">
        <f t="shared" si="36"/>
        <v>649</v>
      </c>
      <c r="B717" s="4">
        <v>6060</v>
      </c>
      <c r="C717" s="79" t="s">
        <v>459</v>
      </c>
      <c r="D717" s="25"/>
      <c r="E717" s="45"/>
      <c r="F717" s="138">
        <v>13500</v>
      </c>
      <c r="G717" s="138">
        <v>11190</v>
      </c>
      <c r="H717" s="138">
        <v>0</v>
      </c>
      <c r="I717" s="203">
        <f t="shared" si="35"/>
        <v>0</v>
      </c>
      <c r="J717" s="203">
        <f t="shared" si="37"/>
        <v>0</v>
      </c>
    </row>
    <row r="718" spans="1:10" ht="12.75">
      <c r="A718" s="158"/>
      <c r="B718" s="4"/>
      <c r="C718" s="79"/>
      <c r="D718" s="25"/>
      <c r="E718" s="45"/>
      <c r="F718" s="138"/>
      <c r="G718" s="138"/>
      <c r="H718" s="138"/>
      <c r="I718" s="203"/>
      <c r="J718" s="203"/>
    </row>
    <row r="719" spans="1:10" ht="12.75">
      <c r="A719" s="158"/>
      <c r="B719" s="4"/>
      <c r="C719" s="79"/>
      <c r="D719" s="25"/>
      <c r="E719" s="45"/>
      <c r="F719" s="138"/>
      <c r="G719" s="138"/>
      <c r="H719" s="138"/>
      <c r="I719" s="203"/>
      <c r="J719" s="203"/>
    </row>
    <row r="720" spans="1:10" s="29" customFormat="1" ht="12.75">
      <c r="A720" s="158">
        <f>A717+1</f>
        <v>650</v>
      </c>
      <c r="B720" s="11">
        <v>80110</v>
      </c>
      <c r="C720" s="68" t="s">
        <v>175</v>
      </c>
      <c r="D720" s="26"/>
      <c r="E720" s="44">
        <f>SUM(E721:E749)</f>
        <v>1253500</v>
      </c>
      <c r="F720" s="26">
        <f>F721+F722+F723+F724+F725+F726+F727+F728+F729+F730+F732+F733+F734+F735+F736+F737+F739+F740+F741+F742+F744+F746+F748+F749+F756</f>
        <v>2085069</v>
      </c>
      <c r="G720" s="26">
        <f>G721+G722+G723+G724+G725+G726+G727+G728+G729+G730+G732+G733+G734+G735+G736+G737+G739+G740+G741+G742+G744+G746+G748+G749+G756</f>
        <v>2084992.12</v>
      </c>
      <c r="H720" s="26">
        <f>H721+H722+H723+H724+H725+H726+H727+H728+H729+H730+H732+H733+H734+H735+H736+H737+H739+H740+H741+H742+H744+H746+H748+H749+H756</f>
        <v>1926800</v>
      </c>
      <c r="I720" s="203">
        <f t="shared" si="35"/>
        <v>0.9241281928681822</v>
      </c>
      <c r="J720" s="203">
        <f t="shared" si="37"/>
        <v>0.041913784988808926</v>
      </c>
    </row>
    <row r="721" spans="1:10" ht="12.75">
      <c r="A721" s="158">
        <f t="shared" si="36"/>
        <v>651</v>
      </c>
      <c r="B721" s="4">
        <v>3020</v>
      </c>
      <c r="C721" s="79" t="s">
        <v>238</v>
      </c>
      <c r="D721" s="25"/>
      <c r="E721" s="46">
        <v>5600</v>
      </c>
      <c r="F721" s="138">
        <v>6200</v>
      </c>
      <c r="G721" s="138">
        <v>6200</v>
      </c>
      <c r="H721" s="138">
        <v>6600</v>
      </c>
      <c r="I721" s="203"/>
      <c r="J721" s="203">
        <f t="shared" si="37"/>
        <v>0.00014357015825521013</v>
      </c>
    </row>
    <row r="722" spans="1:10" ht="12.75">
      <c r="A722" s="158">
        <f t="shared" si="36"/>
        <v>652</v>
      </c>
      <c r="B722" s="4">
        <v>3240</v>
      </c>
      <c r="C722" s="79" t="s">
        <v>263</v>
      </c>
      <c r="D722" s="25"/>
      <c r="E722" s="46"/>
      <c r="F722" s="138">
        <v>10752</v>
      </c>
      <c r="G722" s="138">
        <v>10752</v>
      </c>
      <c r="H722" s="138">
        <v>12700</v>
      </c>
      <c r="I722" s="203">
        <f t="shared" si="35"/>
        <v>1.1811755952380953</v>
      </c>
      <c r="J722" s="203">
        <f t="shared" si="37"/>
        <v>0.00027626378936987405</v>
      </c>
    </row>
    <row r="723" spans="1:10" ht="12.75">
      <c r="A723" s="158">
        <f t="shared" si="36"/>
        <v>653</v>
      </c>
      <c r="B723" s="4">
        <v>4010</v>
      </c>
      <c r="C723" s="79" t="s">
        <v>27</v>
      </c>
      <c r="D723" s="25"/>
      <c r="E723" s="46">
        <f>518900+4200+1000+5300+180400+5400+400+1000+4600</f>
        <v>721200</v>
      </c>
      <c r="F723" s="138">
        <f>1211767+5000</f>
        <v>1216767</v>
      </c>
      <c r="G723" s="138">
        <v>1216767</v>
      </c>
      <c r="H723" s="138">
        <v>1146900</v>
      </c>
      <c r="I723" s="203"/>
      <c r="J723" s="203">
        <f t="shared" si="37"/>
        <v>0.024948577954984924</v>
      </c>
    </row>
    <row r="724" spans="1:10" ht="12.75">
      <c r="A724" s="158">
        <f t="shared" si="36"/>
        <v>654</v>
      </c>
      <c r="B724" s="4">
        <v>4040</v>
      </c>
      <c r="C724" s="79" t="s">
        <v>28</v>
      </c>
      <c r="D724" s="25"/>
      <c r="E724" s="46">
        <v>62900</v>
      </c>
      <c r="F724" s="138">
        <v>83600</v>
      </c>
      <c r="G724" s="138">
        <v>83523.12</v>
      </c>
      <c r="H724" s="138">
        <v>96000</v>
      </c>
      <c r="I724" s="203"/>
      <c r="J724" s="203">
        <f t="shared" si="37"/>
        <v>0.0020882932109848747</v>
      </c>
    </row>
    <row r="725" spans="1:10" ht="12.75">
      <c r="A725" s="158">
        <f t="shared" si="36"/>
        <v>655</v>
      </c>
      <c r="B725" s="4">
        <v>4110</v>
      </c>
      <c r="C725" s="79" t="s">
        <v>32</v>
      </c>
      <c r="D725" s="25"/>
      <c r="E725" s="46">
        <v>141000</v>
      </c>
      <c r="F725" s="138">
        <v>219960</v>
      </c>
      <c r="G725" s="138">
        <v>219960</v>
      </c>
      <c r="H725" s="138">
        <v>211500</v>
      </c>
      <c r="I725" s="203"/>
      <c r="J725" s="203">
        <f t="shared" si="37"/>
        <v>0.0046007709804510525</v>
      </c>
    </row>
    <row r="726" spans="1:10" ht="12.75">
      <c r="A726" s="158">
        <f t="shared" si="36"/>
        <v>656</v>
      </c>
      <c r="B726" s="4">
        <v>4120</v>
      </c>
      <c r="C726" s="79" t="s">
        <v>33</v>
      </c>
      <c r="D726" s="25"/>
      <c r="E726" s="46">
        <v>19400</v>
      </c>
      <c r="F726" s="138">
        <v>30947</v>
      </c>
      <c r="G726" s="138">
        <v>30947</v>
      </c>
      <c r="H726" s="138">
        <v>30000</v>
      </c>
      <c r="I726" s="203"/>
      <c r="J726" s="203">
        <f t="shared" si="37"/>
        <v>0.0006525916284327734</v>
      </c>
    </row>
    <row r="727" spans="1:10" ht="12.75">
      <c r="A727" s="158">
        <f t="shared" si="36"/>
        <v>657</v>
      </c>
      <c r="B727" s="4">
        <v>4140</v>
      </c>
      <c r="C727" s="79" t="s">
        <v>159</v>
      </c>
      <c r="D727" s="25"/>
      <c r="E727" s="46"/>
      <c r="F727" s="138">
        <v>0</v>
      </c>
      <c r="G727" s="138">
        <v>0</v>
      </c>
      <c r="H727" s="138">
        <v>0</v>
      </c>
      <c r="I727" s="203"/>
      <c r="J727" s="203">
        <f t="shared" si="37"/>
        <v>0</v>
      </c>
    </row>
    <row r="728" spans="1:10" ht="12.75">
      <c r="A728" s="158">
        <f t="shared" si="36"/>
        <v>658</v>
      </c>
      <c r="B728" s="4">
        <v>4170</v>
      </c>
      <c r="C728" s="79" t="s">
        <v>250</v>
      </c>
      <c r="D728" s="25"/>
      <c r="E728" s="46"/>
      <c r="F728" s="138">
        <v>3300</v>
      </c>
      <c r="G728" s="138">
        <v>3300</v>
      </c>
      <c r="H728" s="138">
        <v>1200</v>
      </c>
      <c r="I728" s="203">
        <f aca="true" t="shared" si="38" ref="I728:I749">H728/G728</f>
        <v>0.36363636363636365</v>
      </c>
      <c r="J728" s="203">
        <f t="shared" si="37"/>
        <v>2.6103665137310935E-05</v>
      </c>
    </row>
    <row r="729" spans="1:10" ht="12.75">
      <c r="A729" s="158">
        <f t="shared" si="36"/>
        <v>659</v>
      </c>
      <c r="B729" s="4">
        <v>4210</v>
      </c>
      <c r="C729" s="79" t="s">
        <v>144</v>
      </c>
      <c r="D729" s="25"/>
      <c r="E729" s="46">
        <f>74900-6000-12000-3000-7200-11000-1800</f>
        <v>33900</v>
      </c>
      <c r="F729" s="138">
        <f>67648-6000</f>
        <v>61648</v>
      </c>
      <c r="G729" s="138">
        <v>61648</v>
      </c>
      <c r="H729" s="138">
        <v>77000</v>
      </c>
      <c r="I729" s="203"/>
      <c r="J729" s="203">
        <f t="shared" si="37"/>
        <v>0.0016749851796441183</v>
      </c>
    </row>
    <row r="730" spans="1:10" ht="12.75">
      <c r="A730" s="158">
        <f t="shared" si="36"/>
        <v>660</v>
      </c>
      <c r="B730" s="4">
        <v>4220</v>
      </c>
      <c r="C730" s="79" t="s">
        <v>141</v>
      </c>
      <c r="D730" s="25"/>
      <c r="E730" s="46">
        <v>0</v>
      </c>
      <c r="F730" s="138">
        <v>74000</v>
      </c>
      <c r="G730" s="138">
        <v>74000</v>
      </c>
      <c r="H730" s="138">
        <v>0</v>
      </c>
      <c r="I730" s="203">
        <f t="shared" si="38"/>
        <v>0</v>
      </c>
      <c r="J730" s="203">
        <f t="shared" si="37"/>
        <v>0</v>
      </c>
    </row>
    <row r="731" spans="1:10" ht="12.75">
      <c r="A731" s="158">
        <f t="shared" si="36"/>
        <v>661</v>
      </c>
      <c r="B731" s="4">
        <v>4240</v>
      </c>
      <c r="C731" s="79" t="s">
        <v>142</v>
      </c>
      <c r="D731" s="25"/>
      <c r="E731" s="46"/>
      <c r="F731" s="138"/>
      <c r="G731" s="138"/>
      <c r="H731" s="138"/>
      <c r="I731" s="203"/>
      <c r="J731" s="203">
        <f t="shared" si="37"/>
        <v>0</v>
      </c>
    </row>
    <row r="732" spans="1:10" ht="12.75">
      <c r="A732" s="158">
        <f t="shared" si="36"/>
        <v>662</v>
      </c>
      <c r="B732" s="4"/>
      <c r="C732" s="79" t="s">
        <v>143</v>
      </c>
      <c r="D732" s="25"/>
      <c r="E732" s="46">
        <v>13500</v>
      </c>
      <c r="F732" s="138">
        <v>11000</v>
      </c>
      <c r="G732" s="138">
        <v>11000</v>
      </c>
      <c r="H732" s="138">
        <v>12000</v>
      </c>
      <c r="I732" s="203">
        <f t="shared" si="38"/>
        <v>1.0909090909090908</v>
      </c>
      <c r="J732" s="203">
        <f t="shared" si="37"/>
        <v>0.00026103665137310934</v>
      </c>
    </row>
    <row r="733" spans="1:10" ht="12.75">
      <c r="A733" s="158">
        <f t="shared" si="36"/>
        <v>663</v>
      </c>
      <c r="B733" s="4">
        <v>4260</v>
      </c>
      <c r="C733" s="79" t="s">
        <v>138</v>
      </c>
      <c r="D733" s="25"/>
      <c r="E733" s="46">
        <v>59000</v>
      </c>
      <c r="F733" s="138">
        <v>73000</v>
      </c>
      <c r="G733" s="138">
        <v>73000</v>
      </c>
      <c r="H733" s="138">
        <v>74200</v>
      </c>
      <c r="I733" s="203"/>
      <c r="J733" s="203">
        <f t="shared" si="37"/>
        <v>0.0016140766276570595</v>
      </c>
    </row>
    <row r="734" spans="1:10" ht="12.75">
      <c r="A734" s="158">
        <f t="shared" si="36"/>
        <v>664</v>
      </c>
      <c r="B734" s="4">
        <v>4270</v>
      </c>
      <c r="C734" s="79" t="s">
        <v>135</v>
      </c>
      <c r="D734" s="25"/>
      <c r="E734" s="46">
        <v>64000</v>
      </c>
      <c r="F734" s="138">
        <f>69500-2000</f>
        <v>67500</v>
      </c>
      <c r="G734" s="138">
        <v>67500</v>
      </c>
      <c r="H734" s="138">
        <f>25000+10000+25000</f>
        <v>60000</v>
      </c>
      <c r="I734" s="203">
        <f t="shared" si="38"/>
        <v>0.8888888888888888</v>
      </c>
      <c r="J734" s="203">
        <f t="shared" si="37"/>
        <v>0.0013051832568655468</v>
      </c>
    </row>
    <row r="735" spans="1:10" ht="12.75">
      <c r="A735" s="158">
        <f t="shared" si="36"/>
        <v>665</v>
      </c>
      <c r="B735" s="4">
        <v>4280</v>
      </c>
      <c r="C735" s="79" t="s">
        <v>286</v>
      </c>
      <c r="D735" s="25"/>
      <c r="E735" s="46"/>
      <c r="F735" s="138">
        <v>2100</v>
      </c>
      <c r="G735" s="138">
        <v>2100</v>
      </c>
      <c r="H735" s="138">
        <v>2500</v>
      </c>
      <c r="I735" s="203">
        <f t="shared" si="38"/>
        <v>1.1904761904761905</v>
      </c>
      <c r="J735" s="203">
        <f t="shared" si="37"/>
        <v>5.438263570273111E-05</v>
      </c>
    </row>
    <row r="736" spans="1:10" ht="12.75">
      <c r="A736" s="158">
        <f t="shared" si="36"/>
        <v>666</v>
      </c>
      <c r="B736" s="4">
        <v>4300</v>
      </c>
      <c r="C736" s="79" t="s">
        <v>134</v>
      </c>
      <c r="D736" s="25"/>
      <c r="E736" s="46">
        <v>74900</v>
      </c>
      <c r="F736" s="138">
        <f>51000-2000</f>
        <v>49000</v>
      </c>
      <c r="G736" s="138">
        <v>49000</v>
      </c>
      <c r="H736" s="138">
        <v>53000</v>
      </c>
      <c r="I736" s="203">
        <f t="shared" si="38"/>
        <v>1.0816326530612246</v>
      </c>
      <c r="J736" s="203">
        <f t="shared" si="37"/>
        <v>0.0011529118768978995</v>
      </c>
    </row>
    <row r="737" spans="1:10" ht="12.75">
      <c r="A737" s="158">
        <f aca="true" t="shared" si="39" ref="A737:A802">A736+1</f>
        <v>667</v>
      </c>
      <c r="B737" s="4">
        <v>4350</v>
      </c>
      <c r="C737" s="79" t="s">
        <v>331</v>
      </c>
      <c r="D737" s="25"/>
      <c r="E737" s="46"/>
      <c r="F737" s="138">
        <v>2000</v>
      </c>
      <c r="G737" s="138">
        <v>2000</v>
      </c>
      <c r="H737" s="138">
        <v>2000</v>
      </c>
      <c r="I737" s="203">
        <f t="shared" si="38"/>
        <v>1</v>
      </c>
      <c r="J737" s="203">
        <f t="shared" si="37"/>
        <v>4.350610856218489E-05</v>
      </c>
    </row>
    <row r="738" spans="1:10" ht="12.75">
      <c r="A738" s="158">
        <f t="shared" si="39"/>
        <v>668</v>
      </c>
      <c r="B738" s="4">
        <v>4370</v>
      </c>
      <c r="C738" s="79" t="s">
        <v>320</v>
      </c>
      <c r="D738" s="25"/>
      <c r="E738" s="46"/>
      <c r="F738" s="138"/>
      <c r="G738" s="138"/>
      <c r="H738" s="138"/>
      <c r="I738" s="203"/>
      <c r="J738" s="203">
        <f t="shared" si="37"/>
        <v>0</v>
      </c>
    </row>
    <row r="739" spans="1:10" ht="12.75">
      <c r="A739" s="158">
        <f t="shared" si="39"/>
        <v>669</v>
      </c>
      <c r="B739" s="4"/>
      <c r="C739" s="79" t="s">
        <v>339</v>
      </c>
      <c r="D739" s="25"/>
      <c r="E739" s="46"/>
      <c r="F739" s="138">
        <v>15600</v>
      </c>
      <c r="G739" s="138">
        <v>15600</v>
      </c>
      <c r="H739" s="138">
        <v>15000</v>
      </c>
      <c r="I739" s="203">
        <f t="shared" si="38"/>
        <v>0.9615384615384616</v>
      </c>
      <c r="J739" s="203">
        <f t="shared" si="37"/>
        <v>0.0003262958142163867</v>
      </c>
    </row>
    <row r="740" spans="1:10" ht="12.75">
      <c r="A740" s="158">
        <f t="shared" si="39"/>
        <v>670</v>
      </c>
      <c r="B740" s="4">
        <v>4410</v>
      </c>
      <c r="C740" s="79" t="s">
        <v>29</v>
      </c>
      <c r="D740" s="25"/>
      <c r="E740" s="46">
        <v>7000</v>
      </c>
      <c r="F740" s="138">
        <v>8000</v>
      </c>
      <c r="G740" s="138">
        <v>8000</v>
      </c>
      <c r="H740" s="138">
        <v>8000</v>
      </c>
      <c r="I740" s="203">
        <f t="shared" si="38"/>
        <v>1</v>
      </c>
      <c r="J740" s="203">
        <f t="shared" si="37"/>
        <v>0.00017402443424873956</v>
      </c>
    </row>
    <row r="741" spans="1:10" ht="12.75">
      <c r="A741" s="158">
        <f t="shared" si="39"/>
        <v>671</v>
      </c>
      <c r="B741" s="4">
        <v>4430</v>
      </c>
      <c r="C741" s="79" t="s">
        <v>40</v>
      </c>
      <c r="D741" s="25"/>
      <c r="E741" s="46">
        <v>2000</v>
      </c>
      <c r="F741" s="138">
        <v>3800</v>
      </c>
      <c r="G741" s="138">
        <v>3800</v>
      </c>
      <c r="H741" s="138">
        <v>4000</v>
      </c>
      <c r="I741" s="203">
        <f t="shared" si="38"/>
        <v>1.0526315789473684</v>
      </c>
      <c r="J741" s="203">
        <f t="shared" si="37"/>
        <v>8.701221712436978E-05</v>
      </c>
    </row>
    <row r="742" spans="1:10" ht="12.75">
      <c r="A742" s="158">
        <f t="shared" si="39"/>
        <v>672</v>
      </c>
      <c r="B742" s="4">
        <v>4440</v>
      </c>
      <c r="C742" s="79" t="s">
        <v>681</v>
      </c>
      <c r="D742" s="25"/>
      <c r="E742" s="46">
        <v>43100</v>
      </c>
      <c r="F742" s="138">
        <v>69595</v>
      </c>
      <c r="G742" s="138">
        <v>69595</v>
      </c>
      <c r="H742" s="138">
        <v>65200</v>
      </c>
      <c r="I742" s="203"/>
      <c r="J742" s="203">
        <f t="shared" si="37"/>
        <v>0.0014182991391272274</v>
      </c>
    </row>
    <row r="743" spans="1:10" ht="12.75">
      <c r="A743" s="158">
        <f t="shared" si="39"/>
        <v>673</v>
      </c>
      <c r="B743" s="4">
        <v>4700</v>
      </c>
      <c r="C743" s="79" t="s">
        <v>342</v>
      </c>
      <c r="D743" s="25"/>
      <c r="E743" s="46"/>
      <c r="F743" s="138"/>
      <c r="G743" s="138"/>
      <c r="H743" s="138"/>
      <c r="I743" s="203"/>
      <c r="J743" s="203">
        <f t="shared" si="37"/>
        <v>0</v>
      </c>
    </row>
    <row r="744" spans="1:10" ht="12.75">
      <c r="A744" s="158">
        <f t="shared" si="39"/>
        <v>674</v>
      </c>
      <c r="B744" s="4"/>
      <c r="C744" s="79" t="s">
        <v>341</v>
      </c>
      <c r="D744" s="25"/>
      <c r="E744" s="46"/>
      <c r="F744" s="138">
        <v>5000</v>
      </c>
      <c r="G744" s="138">
        <v>5000</v>
      </c>
      <c r="H744" s="138">
        <v>6000</v>
      </c>
      <c r="I744" s="203">
        <f t="shared" si="38"/>
        <v>1.2</v>
      </c>
      <c r="J744" s="203">
        <f t="shared" si="37"/>
        <v>0.00013051832568655467</v>
      </c>
    </row>
    <row r="745" spans="1:10" ht="12.75">
      <c r="A745" s="158">
        <f t="shared" si="39"/>
        <v>675</v>
      </c>
      <c r="B745" s="4">
        <v>4740</v>
      </c>
      <c r="C745" s="79" t="s">
        <v>309</v>
      </c>
      <c r="D745" s="25"/>
      <c r="E745" s="46"/>
      <c r="F745" s="138"/>
      <c r="G745" s="138"/>
      <c r="H745" s="138"/>
      <c r="I745" s="203"/>
      <c r="J745" s="203">
        <f t="shared" si="37"/>
        <v>0</v>
      </c>
    </row>
    <row r="746" spans="1:10" ht="12.75">
      <c r="A746" s="158">
        <f t="shared" si="39"/>
        <v>676</v>
      </c>
      <c r="B746" s="4"/>
      <c r="C746" s="79" t="s">
        <v>310</v>
      </c>
      <c r="D746" s="25"/>
      <c r="E746" s="46"/>
      <c r="F746" s="138">
        <v>4500</v>
      </c>
      <c r="G746" s="138">
        <v>4500</v>
      </c>
      <c r="H746" s="138">
        <v>5000</v>
      </c>
      <c r="I746" s="203">
        <f t="shared" si="38"/>
        <v>1.1111111111111112</v>
      </c>
      <c r="J746" s="203">
        <f t="shared" si="37"/>
        <v>0.00010876527140546222</v>
      </c>
    </row>
    <row r="747" spans="1:10" ht="12.75">
      <c r="A747" s="158">
        <f t="shared" si="39"/>
        <v>677</v>
      </c>
      <c r="B747" s="4">
        <v>4750</v>
      </c>
      <c r="C747" s="79" t="s">
        <v>311</v>
      </c>
      <c r="D747" s="25"/>
      <c r="E747" s="46"/>
      <c r="F747" s="138"/>
      <c r="G747" s="138"/>
      <c r="H747" s="138"/>
      <c r="I747" s="203"/>
      <c r="J747" s="203">
        <f aca="true" t="shared" si="40" ref="J747:J753">H747/$H$1363</f>
        <v>0</v>
      </c>
    </row>
    <row r="748" spans="1:10" ht="12.75">
      <c r="A748" s="158">
        <f t="shared" si="39"/>
        <v>678</v>
      </c>
      <c r="B748" s="4"/>
      <c r="C748" s="79" t="s">
        <v>312</v>
      </c>
      <c r="D748" s="25"/>
      <c r="E748" s="46"/>
      <c r="F748" s="138">
        <v>5500</v>
      </c>
      <c r="G748" s="138">
        <v>5500</v>
      </c>
      <c r="H748" s="138">
        <v>11000</v>
      </c>
      <c r="I748" s="203">
        <f t="shared" si="38"/>
        <v>2</v>
      </c>
      <c r="J748" s="203">
        <f t="shared" si="40"/>
        <v>0.0002392835970920169</v>
      </c>
    </row>
    <row r="749" spans="1:10" ht="12.75">
      <c r="A749" s="158">
        <f t="shared" si="39"/>
        <v>679</v>
      </c>
      <c r="B749" s="4">
        <v>6050</v>
      </c>
      <c r="C749" s="106" t="s">
        <v>191</v>
      </c>
      <c r="D749" s="25"/>
      <c r="E749" s="46">
        <v>6000</v>
      </c>
      <c r="F749" s="138">
        <f>SUM(F751:F755)</f>
        <v>56300</v>
      </c>
      <c r="G749" s="138">
        <f>SUM(G751:G755)</f>
        <v>56300</v>
      </c>
      <c r="H749" s="138">
        <f>SUM(H751:H755)</f>
        <v>0</v>
      </c>
      <c r="I749" s="203">
        <f t="shared" si="38"/>
        <v>0</v>
      </c>
      <c r="J749" s="203">
        <f t="shared" si="40"/>
        <v>0</v>
      </c>
    </row>
    <row r="750" spans="1:10" ht="12.75">
      <c r="A750" s="158">
        <f t="shared" si="39"/>
        <v>680</v>
      </c>
      <c r="B750" s="4"/>
      <c r="C750" s="106" t="s">
        <v>15</v>
      </c>
      <c r="D750" s="25"/>
      <c r="E750" s="46"/>
      <c r="F750" s="138"/>
      <c r="G750" s="138"/>
      <c r="H750" s="138"/>
      <c r="I750" s="203"/>
      <c r="J750" s="203">
        <f t="shared" si="40"/>
        <v>0</v>
      </c>
    </row>
    <row r="751" spans="1:10" ht="12.75">
      <c r="A751" s="158">
        <f t="shared" si="39"/>
        <v>681</v>
      </c>
      <c r="B751" s="4"/>
      <c r="C751" s="79" t="s">
        <v>516</v>
      </c>
      <c r="D751" s="25"/>
      <c r="E751" s="46"/>
      <c r="F751" s="138">
        <v>18300</v>
      </c>
      <c r="G751" s="138">
        <v>18300</v>
      </c>
      <c r="H751" s="138">
        <v>0</v>
      </c>
      <c r="I751" s="203">
        <f>H751/G751</f>
        <v>0</v>
      </c>
      <c r="J751" s="203">
        <f t="shared" si="40"/>
        <v>0</v>
      </c>
    </row>
    <row r="752" spans="1:10" ht="12.75">
      <c r="A752" s="158">
        <f t="shared" si="39"/>
        <v>682</v>
      </c>
      <c r="B752" s="4"/>
      <c r="C752" s="79" t="s">
        <v>554</v>
      </c>
      <c r="D752" s="25"/>
      <c r="E752" s="46"/>
      <c r="F752" s="138">
        <v>0</v>
      </c>
      <c r="G752" s="138">
        <v>0</v>
      </c>
      <c r="H752" s="138">
        <v>0</v>
      </c>
      <c r="I752" s="203"/>
      <c r="J752" s="203">
        <f t="shared" si="40"/>
        <v>0</v>
      </c>
    </row>
    <row r="753" spans="1:10" ht="12.75">
      <c r="A753" s="158">
        <f t="shared" si="39"/>
        <v>683</v>
      </c>
      <c r="B753" s="4"/>
      <c r="C753" s="79" t="s">
        <v>517</v>
      </c>
      <c r="D753" s="25"/>
      <c r="E753" s="46"/>
      <c r="F753" s="138">
        <v>28000</v>
      </c>
      <c r="G753" s="138">
        <v>28000</v>
      </c>
      <c r="H753" s="138">
        <v>0</v>
      </c>
      <c r="I753" s="203"/>
      <c r="J753" s="203">
        <f t="shared" si="40"/>
        <v>0</v>
      </c>
    </row>
    <row r="754" spans="1:10" ht="12.75">
      <c r="A754" s="158">
        <f t="shared" si="39"/>
        <v>684</v>
      </c>
      <c r="B754" s="4"/>
      <c r="C754" s="79" t="s">
        <v>599</v>
      </c>
      <c r="D754" s="25"/>
      <c r="E754" s="46"/>
      <c r="F754" s="138"/>
      <c r="G754" s="138"/>
      <c r="H754" s="138"/>
      <c r="I754" s="203"/>
      <c r="J754" s="203"/>
    </row>
    <row r="755" spans="1:10" ht="12.75">
      <c r="A755" s="158">
        <f t="shared" si="39"/>
        <v>685</v>
      </c>
      <c r="B755" s="4"/>
      <c r="C755" s="79" t="s">
        <v>600</v>
      </c>
      <c r="D755" s="25"/>
      <c r="E755" s="46"/>
      <c r="F755" s="138">
        <v>10000</v>
      </c>
      <c r="G755" s="138">
        <v>10000</v>
      </c>
      <c r="H755" s="138">
        <v>0</v>
      </c>
      <c r="I755" s="203"/>
      <c r="J755" s="203"/>
    </row>
    <row r="756" spans="1:10" ht="12.75">
      <c r="A756" s="158">
        <f t="shared" si="39"/>
        <v>686</v>
      </c>
      <c r="B756" s="4">
        <v>6060</v>
      </c>
      <c r="C756" s="79" t="s">
        <v>459</v>
      </c>
      <c r="D756" s="25"/>
      <c r="E756" s="46"/>
      <c r="F756" s="138">
        <v>5000</v>
      </c>
      <c r="G756" s="138">
        <v>5000</v>
      </c>
      <c r="H756" s="138">
        <f>5000+22000</f>
        <v>27000</v>
      </c>
      <c r="I756" s="203">
        <f aca="true" t="shared" si="41" ref="I756:I784">H756/G756</f>
        <v>5.4</v>
      </c>
      <c r="J756" s="203">
        <f aca="true" t="shared" si="42" ref="J756:J762">H756/$H$1363</f>
        <v>0.000587332465589496</v>
      </c>
    </row>
    <row r="757" spans="1:10" s="29" customFormat="1" ht="12.75">
      <c r="A757" s="158">
        <f t="shared" si="39"/>
        <v>687</v>
      </c>
      <c r="B757" s="11">
        <v>80113</v>
      </c>
      <c r="C757" s="68" t="s">
        <v>46</v>
      </c>
      <c r="D757" s="26"/>
      <c r="E757" s="44">
        <f>E760</f>
        <v>81000</v>
      </c>
      <c r="F757" s="26">
        <f>SUM(F759:F760)</f>
        <v>107920</v>
      </c>
      <c r="G757" s="26">
        <f>SUM(G759:G760)</f>
        <v>106810</v>
      </c>
      <c r="H757" s="26">
        <f>SUM(H759:H760)</f>
        <v>92450</v>
      </c>
      <c r="I757" s="203">
        <f t="shared" si="41"/>
        <v>0.8655556595824361</v>
      </c>
      <c r="J757" s="203">
        <f t="shared" si="42"/>
        <v>0.0020110698682869964</v>
      </c>
    </row>
    <row r="758" spans="1:10" s="60" customFormat="1" ht="12.75">
      <c r="A758" s="158">
        <f t="shared" si="39"/>
        <v>688</v>
      </c>
      <c r="B758" s="105">
        <v>2820</v>
      </c>
      <c r="C758" s="79" t="s">
        <v>275</v>
      </c>
      <c r="D758" s="84"/>
      <c r="E758" s="83"/>
      <c r="F758" s="144"/>
      <c r="G758" s="144"/>
      <c r="H758" s="144"/>
      <c r="I758" s="203"/>
      <c r="J758" s="203">
        <f t="shared" si="42"/>
        <v>0</v>
      </c>
    </row>
    <row r="759" spans="1:10" s="60" customFormat="1" ht="12.75">
      <c r="A759" s="158">
        <f t="shared" si="39"/>
        <v>689</v>
      </c>
      <c r="B759" s="105"/>
      <c r="C759" s="106" t="s">
        <v>276</v>
      </c>
      <c r="D759" s="84"/>
      <c r="E759" s="83"/>
      <c r="F759" s="144">
        <v>21560</v>
      </c>
      <c r="G759" s="144">
        <v>21210</v>
      </c>
      <c r="H759" s="144">
        <v>22930</v>
      </c>
      <c r="I759" s="203">
        <f t="shared" si="41"/>
        <v>1.0810938236680812</v>
      </c>
      <c r="J759" s="203">
        <f t="shared" si="42"/>
        <v>0.0004987975346654498</v>
      </c>
    </row>
    <row r="760" spans="1:10" ht="12.75">
      <c r="A760" s="158">
        <f t="shared" si="39"/>
        <v>690</v>
      </c>
      <c r="B760" s="4">
        <v>4300</v>
      </c>
      <c r="C760" s="79" t="s">
        <v>134</v>
      </c>
      <c r="D760" s="25"/>
      <c r="E760" s="46">
        <v>81000</v>
      </c>
      <c r="F760" s="138">
        <v>86360</v>
      </c>
      <c r="G760" s="138">
        <v>85600</v>
      </c>
      <c r="H760" s="138">
        <v>69520</v>
      </c>
      <c r="I760" s="203">
        <f t="shared" si="41"/>
        <v>0.8121495327102803</v>
      </c>
      <c r="J760" s="203">
        <f t="shared" si="42"/>
        <v>0.0015122723336215469</v>
      </c>
    </row>
    <row r="761" spans="1:10" s="73" customFormat="1" ht="12.75">
      <c r="A761" s="158">
        <f t="shared" si="39"/>
        <v>691</v>
      </c>
      <c r="B761" s="62">
        <v>80146</v>
      </c>
      <c r="C761" s="68" t="s">
        <v>184</v>
      </c>
      <c r="D761" s="63"/>
      <c r="E761" s="72"/>
      <c r="F761" s="148">
        <f>+F762+F767+F773+F781</f>
        <v>25011</v>
      </c>
      <c r="G761" s="148">
        <f>+G762+G767+G773+G781</f>
        <v>25011</v>
      </c>
      <c r="H761" s="148">
        <f>+H762+H767+H773+H781</f>
        <v>28018</v>
      </c>
      <c r="I761" s="203">
        <f t="shared" si="41"/>
        <v>1.1202271000759665</v>
      </c>
      <c r="J761" s="203">
        <f t="shared" si="42"/>
        <v>0.0006094770748476481</v>
      </c>
    </row>
    <row r="762" spans="1:10" s="73" customFormat="1" ht="12.75">
      <c r="A762" s="158">
        <f t="shared" si="39"/>
        <v>692</v>
      </c>
      <c r="B762" s="4">
        <v>3250</v>
      </c>
      <c r="C762" s="79" t="s">
        <v>42</v>
      </c>
      <c r="D762" s="63"/>
      <c r="E762" s="72"/>
      <c r="F762" s="144">
        <f>SUM(F764:F766)</f>
        <v>2600</v>
      </c>
      <c r="G762" s="144">
        <f>SUM(G764:G766)</f>
        <v>2600</v>
      </c>
      <c r="H762" s="144">
        <f>SUM(H764:H766)</f>
        <v>2600</v>
      </c>
      <c r="I762" s="203">
        <f t="shared" si="41"/>
        <v>1</v>
      </c>
      <c r="J762" s="203">
        <f t="shared" si="42"/>
        <v>5.655794113084036E-05</v>
      </c>
    </row>
    <row r="763" spans="1:10" s="73" customFormat="1" ht="12.75">
      <c r="A763" s="158">
        <f t="shared" si="39"/>
        <v>693</v>
      </c>
      <c r="B763" s="4"/>
      <c r="C763" s="79" t="s">
        <v>15</v>
      </c>
      <c r="D763" s="63"/>
      <c r="E763" s="72"/>
      <c r="F763" s="144"/>
      <c r="G763" s="144"/>
      <c r="H763" s="144"/>
      <c r="I763" s="203"/>
      <c r="J763" s="203"/>
    </row>
    <row r="764" spans="1:10" s="73" customFormat="1" ht="12.75">
      <c r="A764" s="158">
        <f t="shared" si="39"/>
        <v>694</v>
      </c>
      <c r="B764" s="4"/>
      <c r="C764" s="79" t="s">
        <v>147</v>
      </c>
      <c r="D764" s="63"/>
      <c r="E764" s="72"/>
      <c r="F764" s="144">
        <v>0</v>
      </c>
      <c r="G764" s="144">
        <v>0</v>
      </c>
      <c r="H764" s="144">
        <v>0</v>
      </c>
      <c r="I764" s="203"/>
      <c r="J764" s="203">
        <f>H764/$H$1363</f>
        <v>0</v>
      </c>
    </row>
    <row r="765" spans="1:10" s="73" customFormat="1" ht="12.75">
      <c r="A765" s="158">
        <f t="shared" si="39"/>
        <v>695</v>
      </c>
      <c r="B765" s="4"/>
      <c r="C765" s="79" t="s">
        <v>148</v>
      </c>
      <c r="D765" s="63"/>
      <c r="E765" s="72"/>
      <c r="F765" s="144">
        <v>0</v>
      </c>
      <c r="G765" s="144">
        <v>0</v>
      </c>
      <c r="H765" s="144">
        <v>0</v>
      </c>
      <c r="I765" s="203"/>
      <c r="J765" s="203">
        <f>H765/$H$1363</f>
        <v>0</v>
      </c>
    </row>
    <row r="766" spans="1:10" s="73" customFormat="1" ht="12.75">
      <c r="A766" s="158">
        <f t="shared" si="39"/>
        <v>696</v>
      </c>
      <c r="B766" s="4"/>
      <c r="C766" s="79" t="s">
        <v>47</v>
      </c>
      <c r="D766" s="63"/>
      <c r="E766" s="72"/>
      <c r="F766" s="144">
        <v>2600</v>
      </c>
      <c r="G766" s="144">
        <v>2600</v>
      </c>
      <c r="H766" s="144">
        <v>2600</v>
      </c>
      <c r="I766" s="203">
        <f t="shared" si="41"/>
        <v>1</v>
      </c>
      <c r="J766" s="203">
        <f>H766/$H$1363</f>
        <v>5.655794113084036E-05</v>
      </c>
    </row>
    <row r="767" spans="1:10" ht="12.75">
      <c r="A767" s="158">
        <f t="shared" si="39"/>
        <v>697</v>
      </c>
      <c r="B767" s="4">
        <v>4300</v>
      </c>
      <c r="C767" s="79" t="s">
        <v>134</v>
      </c>
      <c r="D767" s="25"/>
      <c r="E767" s="46"/>
      <c r="F767" s="138">
        <f>SUM(F769:F772)</f>
        <v>7611</v>
      </c>
      <c r="G767" s="138">
        <f>SUM(G769:G772)</f>
        <v>7611</v>
      </c>
      <c r="H767" s="138">
        <f>SUM(H769:H772)</f>
        <v>9568</v>
      </c>
      <c r="I767" s="203">
        <f t="shared" si="41"/>
        <v>1.2571278412823546</v>
      </c>
      <c r="J767" s="203">
        <f>H767/$H$1363</f>
        <v>0.00020813322336149252</v>
      </c>
    </row>
    <row r="768" spans="1:10" ht="12.75">
      <c r="A768" s="158">
        <f t="shared" si="39"/>
        <v>698</v>
      </c>
      <c r="B768" s="4"/>
      <c r="C768" s="79" t="s">
        <v>15</v>
      </c>
      <c r="D768" s="25"/>
      <c r="E768" s="46"/>
      <c r="F768" s="138"/>
      <c r="G768" s="138"/>
      <c r="H768" s="138"/>
      <c r="I768" s="203"/>
      <c r="J768" s="203"/>
    </row>
    <row r="769" spans="1:10" ht="12.75">
      <c r="A769" s="158">
        <f t="shared" si="39"/>
        <v>699</v>
      </c>
      <c r="B769" s="4"/>
      <c r="C769" s="79" t="s">
        <v>147</v>
      </c>
      <c r="D769" s="25"/>
      <c r="E769" s="46"/>
      <c r="F769" s="138">
        <v>2000</v>
      </c>
      <c r="G769" s="138">
        <v>2000</v>
      </c>
      <c r="H769" s="138">
        <v>3600</v>
      </c>
      <c r="I769" s="203">
        <f t="shared" si="41"/>
        <v>1.8</v>
      </c>
      <c r="J769" s="203">
        <f>H769/$H$1363</f>
        <v>7.83109954119328E-05</v>
      </c>
    </row>
    <row r="770" spans="1:10" ht="12.75">
      <c r="A770" s="158">
        <f t="shared" si="39"/>
        <v>700</v>
      </c>
      <c r="B770" s="4"/>
      <c r="C770" s="79" t="s">
        <v>148</v>
      </c>
      <c r="D770" s="25"/>
      <c r="E770" s="46"/>
      <c r="F770" s="138">
        <v>2350</v>
      </c>
      <c r="G770" s="138">
        <v>2350</v>
      </c>
      <c r="H770" s="138">
        <v>2400</v>
      </c>
      <c r="I770" s="203">
        <f t="shared" si="41"/>
        <v>1.0212765957446808</v>
      </c>
      <c r="J770" s="203">
        <f>H770/$H$1363</f>
        <v>5.220733027462187E-05</v>
      </c>
    </row>
    <row r="771" spans="1:10" ht="12.75">
      <c r="A771" s="158">
        <f t="shared" si="39"/>
        <v>701</v>
      </c>
      <c r="B771" s="4"/>
      <c r="C771" s="79" t="s">
        <v>185</v>
      </c>
      <c r="D771" s="25"/>
      <c r="E771" s="46"/>
      <c r="F771" s="138">
        <v>3261</v>
      </c>
      <c r="G771" s="138">
        <v>3261</v>
      </c>
      <c r="H771" s="138">
        <v>3568</v>
      </c>
      <c r="I771" s="203">
        <f t="shared" si="41"/>
        <v>1.0941429009506287</v>
      </c>
      <c r="J771" s="203">
        <f>H771/$H$1363</f>
        <v>7.761489767493785E-05</v>
      </c>
    </row>
    <row r="772" spans="1:10" ht="12.75">
      <c r="A772" s="158">
        <f t="shared" si="39"/>
        <v>702</v>
      </c>
      <c r="B772" s="4"/>
      <c r="C772" s="79" t="s">
        <v>47</v>
      </c>
      <c r="D772" s="25"/>
      <c r="E772" s="46"/>
      <c r="F772" s="138">
        <v>0</v>
      </c>
      <c r="G772" s="138">
        <v>0</v>
      </c>
      <c r="H772" s="138">
        <v>0</v>
      </c>
      <c r="I772" s="203"/>
      <c r="J772" s="203">
        <f>H772/$H$1363</f>
        <v>0</v>
      </c>
    </row>
    <row r="773" spans="1:10" ht="12.75">
      <c r="A773" s="158">
        <f t="shared" si="39"/>
        <v>703</v>
      </c>
      <c r="B773" s="4">
        <v>4410</v>
      </c>
      <c r="C773" s="79" t="s">
        <v>29</v>
      </c>
      <c r="D773" s="25"/>
      <c r="E773" s="46"/>
      <c r="F773" s="138">
        <f>SUM(F775:F777)</f>
        <v>7200</v>
      </c>
      <c r="G773" s="138">
        <f>SUM(G775:G777)</f>
        <v>7200</v>
      </c>
      <c r="H773" s="138">
        <f>SUM(H775:H777)</f>
        <v>7250</v>
      </c>
      <c r="I773" s="203">
        <f t="shared" si="41"/>
        <v>1.0069444444444444</v>
      </c>
      <c r="J773" s="203">
        <f>H773/$H$1363</f>
        <v>0.00015770964353792024</v>
      </c>
    </row>
    <row r="774" spans="1:10" ht="12.75">
      <c r="A774" s="158">
        <f t="shared" si="39"/>
        <v>704</v>
      </c>
      <c r="B774" s="4"/>
      <c r="C774" s="79" t="s">
        <v>15</v>
      </c>
      <c r="D774" s="25"/>
      <c r="E774" s="46"/>
      <c r="F774" s="138"/>
      <c r="G774" s="138"/>
      <c r="H774" s="138"/>
      <c r="I774" s="203"/>
      <c r="J774" s="203"/>
    </row>
    <row r="775" spans="1:10" ht="12.75">
      <c r="A775" s="158">
        <f t="shared" si="39"/>
        <v>705</v>
      </c>
      <c r="B775" s="4"/>
      <c r="C775" s="79" t="s">
        <v>147</v>
      </c>
      <c r="D775" s="25"/>
      <c r="E775" s="46"/>
      <c r="F775" s="138">
        <v>4000</v>
      </c>
      <c r="G775" s="138">
        <v>4000</v>
      </c>
      <c r="H775" s="138">
        <v>4000</v>
      </c>
      <c r="I775" s="203">
        <f t="shared" si="41"/>
        <v>1</v>
      </c>
      <c r="J775" s="203">
        <f>H775/$H$1363</f>
        <v>8.701221712436978E-05</v>
      </c>
    </row>
    <row r="776" spans="1:10" ht="12.75">
      <c r="A776" s="158">
        <f t="shared" si="39"/>
        <v>706</v>
      </c>
      <c r="B776" s="4"/>
      <c r="C776" s="79" t="s">
        <v>148</v>
      </c>
      <c r="D776" s="25"/>
      <c r="E776" s="46"/>
      <c r="F776" s="138">
        <v>700</v>
      </c>
      <c r="G776" s="138">
        <v>700</v>
      </c>
      <c r="H776" s="138">
        <v>750</v>
      </c>
      <c r="I776" s="203">
        <f t="shared" si="41"/>
        <v>1.0714285714285714</v>
      </c>
      <c r="J776" s="203">
        <f>H776/$H$1363</f>
        <v>1.6314790710819334E-05</v>
      </c>
    </row>
    <row r="777" spans="1:10" ht="12.75">
      <c r="A777" s="158">
        <f t="shared" si="39"/>
        <v>707</v>
      </c>
      <c r="B777" s="4"/>
      <c r="C777" s="79" t="s">
        <v>47</v>
      </c>
      <c r="D777" s="25"/>
      <c r="E777" s="46"/>
      <c r="F777" s="138">
        <v>2500</v>
      </c>
      <c r="G777" s="138">
        <v>2500</v>
      </c>
      <c r="H777" s="138">
        <v>2500</v>
      </c>
      <c r="I777" s="203">
        <f t="shared" si="41"/>
        <v>1</v>
      </c>
      <c r="J777" s="203">
        <f>H777/$H$1363</f>
        <v>5.438263570273111E-05</v>
      </c>
    </row>
    <row r="778" spans="1:10" ht="12.75">
      <c r="A778" s="158"/>
      <c r="B778" s="4"/>
      <c r="C778" s="79"/>
      <c r="D778" s="25"/>
      <c r="E778" s="46"/>
      <c r="F778" s="138"/>
      <c r="G778" s="138"/>
      <c r="H778" s="138"/>
      <c r="I778" s="203"/>
      <c r="J778" s="203"/>
    </row>
    <row r="779" spans="1:10" ht="12.75">
      <c r="A779" s="158"/>
      <c r="B779" s="4"/>
      <c r="C779" s="79"/>
      <c r="D779" s="25"/>
      <c r="E779" s="46"/>
      <c r="F779" s="138"/>
      <c r="G779" s="138"/>
      <c r="H779" s="138"/>
      <c r="I779" s="203"/>
      <c r="J779" s="203"/>
    </row>
    <row r="780" spans="1:10" ht="12.75">
      <c r="A780" s="158">
        <f>A777+1</f>
        <v>708</v>
      </c>
      <c r="B780" s="4">
        <v>4700</v>
      </c>
      <c r="C780" s="79" t="s">
        <v>342</v>
      </c>
      <c r="D780" s="25"/>
      <c r="E780" s="46"/>
      <c r="F780" s="138"/>
      <c r="G780" s="138"/>
      <c r="H780" s="138"/>
      <c r="I780" s="203"/>
      <c r="J780" s="203"/>
    </row>
    <row r="781" spans="1:10" ht="12.75">
      <c r="A781" s="158">
        <f t="shared" si="39"/>
        <v>709</v>
      </c>
      <c r="B781" s="4"/>
      <c r="C781" s="79" t="s">
        <v>341</v>
      </c>
      <c r="D781" s="25"/>
      <c r="E781" s="46"/>
      <c r="F781" s="138">
        <f>SUM(F783:F784)</f>
        <v>7600</v>
      </c>
      <c r="G781" s="138">
        <f>SUM(G783:G784)</f>
        <v>7600</v>
      </c>
      <c r="H781" s="138">
        <f>SUM(H783:H784)</f>
        <v>8600</v>
      </c>
      <c r="I781" s="203">
        <f t="shared" si="41"/>
        <v>1.131578947368421</v>
      </c>
      <c r="J781" s="203">
        <f>H781/$H$1363</f>
        <v>0.00018707626681739502</v>
      </c>
    </row>
    <row r="782" spans="1:10" ht="12.75">
      <c r="A782" s="158">
        <f t="shared" si="39"/>
        <v>710</v>
      </c>
      <c r="B782" s="4"/>
      <c r="C782" s="79" t="s">
        <v>15</v>
      </c>
      <c r="D782" s="25"/>
      <c r="E782" s="46"/>
      <c r="F782" s="138"/>
      <c r="G782" s="138"/>
      <c r="H782" s="138"/>
      <c r="I782" s="203"/>
      <c r="J782" s="203"/>
    </row>
    <row r="783" spans="1:10" ht="12.75">
      <c r="A783" s="158">
        <f t="shared" si="39"/>
        <v>711</v>
      </c>
      <c r="B783" s="4"/>
      <c r="C783" s="79" t="s">
        <v>147</v>
      </c>
      <c r="D783" s="25"/>
      <c r="E783" s="46"/>
      <c r="F783" s="138">
        <v>4000</v>
      </c>
      <c r="G783" s="138">
        <v>4000</v>
      </c>
      <c r="H783" s="138">
        <v>4000</v>
      </c>
      <c r="I783" s="203">
        <f t="shared" si="41"/>
        <v>1</v>
      </c>
      <c r="J783" s="203">
        <f aca="true" t="shared" si="43" ref="J783:J814">H783/$H$1363</f>
        <v>8.701221712436978E-05</v>
      </c>
    </row>
    <row r="784" spans="1:10" ht="12.75">
      <c r="A784" s="158">
        <f t="shared" si="39"/>
        <v>712</v>
      </c>
      <c r="B784" s="4"/>
      <c r="C784" s="79" t="s">
        <v>47</v>
      </c>
      <c r="D784" s="25"/>
      <c r="E784" s="46"/>
      <c r="F784" s="138">
        <v>3600</v>
      </c>
      <c r="G784" s="138">
        <v>3600</v>
      </c>
      <c r="H784" s="138">
        <v>4600</v>
      </c>
      <c r="I784" s="203">
        <f t="shared" si="41"/>
        <v>1.2777777777777777</v>
      </c>
      <c r="J784" s="203">
        <f t="shared" si="43"/>
        <v>0.00010006404969302524</v>
      </c>
    </row>
    <row r="785" spans="1:10" s="177" customFormat="1" ht="12.75">
      <c r="A785" s="158">
        <f t="shared" si="39"/>
        <v>713</v>
      </c>
      <c r="B785" s="197">
        <v>80148</v>
      </c>
      <c r="C785" s="179" t="s">
        <v>552</v>
      </c>
      <c r="D785" s="157"/>
      <c r="E785" s="161"/>
      <c r="F785" s="162">
        <f>F786+F791+F796+F801+F806+F811+F816+F821+F826+F831+F836</f>
        <v>0</v>
      </c>
      <c r="G785" s="162">
        <f>G786+G791+G796+G801+G806+G811+G816+G821+G826+G831+G836</f>
        <v>0</v>
      </c>
      <c r="H785" s="162">
        <f>H786+H791+H796+H801+H806+H811+H816+H821+H826+H831+H836</f>
        <v>431540</v>
      </c>
      <c r="I785" s="219"/>
      <c r="J785" s="203">
        <f t="shared" si="43"/>
        <v>0.009387313044462635</v>
      </c>
    </row>
    <row r="786" spans="1:10" ht="12.75">
      <c r="A786" s="158">
        <f t="shared" si="39"/>
        <v>714</v>
      </c>
      <c r="B786" s="4">
        <v>3020</v>
      </c>
      <c r="C786" s="79" t="s">
        <v>238</v>
      </c>
      <c r="D786" s="25"/>
      <c r="E786" s="46"/>
      <c r="F786" s="138">
        <f>SUM(F788:F790)</f>
        <v>0</v>
      </c>
      <c r="G786" s="138">
        <f>SUM(G788:G790)</f>
        <v>0</v>
      </c>
      <c r="H786" s="138">
        <f>SUM(H788:H790)</f>
        <v>1200</v>
      </c>
      <c r="I786" s="203"/>
      <c r="J786" s="203">
        <f t="shared" si="43"/>
        <v>2.6103665137310935E-05</v>
      </c>
    </row>
    <row r="787" spans="1:10" ht="12.75">
      <c r="A787" s="158">
        <f t="shared" si="39"/>
        <v>715</v>
      </c>
      <c r="B787" s="4"/>
      <c r="C787" s="79" t="s">
        <v>15</v>
      </c>
      <c r="D787" s="25"/>
      <c r="E787" s="46"/>
      <c r="F787" s="138"/>
      <c r="G787" s="138"/>
      <c r="H787" s="138"/>
      <c r="I787" s="203"/>
      <c r="J787" s="203">
        <f t="shared" si="43"/>
        <v>0</v>
      </c>
    </row>
    <row r="788" spans="1:10" ht="12.75">
      <c r="A788" s="158">
        <f t="shared" si="39"/>
        <v>716</v>
      </c>
      <c r="B788" s="4"/>
      <c r="C788" s="79" t="s">
        <v>147</v>
      </c>
      <c r="D788" s="25"/>
      <c r="E788" s="46"/>
      <c r="F788" s="138">
        <v>0</v>
      </c>
      <c r="G788" s="138">
        <v>0</v>
      </c>
      <c r="H788" s="138">
        <v>1000</v>
      </c>
      <c r="I788" s="203"/>
      <c r="J788" s="203">
        <f t="shared" si="43"/>
        <v>2.1753054281092445E-05</v>
      </c>
    </row>
    <row r="789" spans="1:10" ht="12.75">
      <c r="A789" s="158">
        <f t="shared" si="39"/>
        <v>717</v>
      </c>
      <c r="B789" s="4"/>
      <c r="C789" s="79" t="s">
        <v>148</v>
      </c>
      <c r="D789" s="25"/>
      <c r="E789" s="46"/>
      <c r="F789" s="138">
        <v>0</v>
      </c>
      <c r="G789" s="138">
        <v>0</v>
      </c>
      <c r="H789" s="138">
        <v>200</v>
      </c>
      <c r="I789" s="203"/>
      <c r="J789" s="203">
        <f t="shared" si="43"/>
        <v>4.350610856218489E-06</v>
      </c>
    </row>
    <row r="790" spans="1:10" ht="12.75">
      <c r="A790" s="158">
        <f t="shared" si="39"/>
        <v>718</v>
      </c>
      <c r="B790" s="4"/>
      <c r="C790" s="79" t="s">
        <v>47</v>
      </c>
      <c r="D790" s="25"/>
      <c r="E790" s="46"/>
      <c r="F790" s="138">
        <v>0</v>
      </c>
      <c r="G790" s="138">
        <v>0</v>
      </c>
      <c r="H790" s="138">
        <v>0</v>
      </c>
      <c r="I790" s="203"/>
      <c r="J790" s="203">
        <f t="shared" si="43"/>
        <v>0</v>
      </c>
    </row>
    <row r="791" spans="1:10" ht="12.75">
      <c r="A791" s="158">
        <f t="shared" si="39"/>
        <v>719</v>
      </c>
      <c r="B791" s="4">
        <v>4010</v>
      </c>
      <c r="C791" s="79" t="s">
        <v>27</v>
      </c>
      <c r="D791" s="25"/>
      <c r="E791" s="46"/>
      <c r="F791" s="138">
        <f>SUM(F793:F795)</f>
        <v>0</v>
      </c>
      <c r="G791" s="138">
        <f>SUM(G793:G795)</f>
        <v>0</v>
      </c>
      <c r="H791" s="138">
        <f>SUM(H793:H795)</f>
        <v>164120</v>
      </c>
      <c r="I791" s="203"/>
      <c r="J791" s="203">
        <f t="shared" si="43"/>
        <v>0.0035701112686128923</v>
      </c>
    </row>
    <row r="792" spans="1:10" ht="12.75">
      <c r="A792" s="158">
        <f t="shared" si="39"/>
        <v>720</v>
      </c>
      <c r="B792" s="4"/>
      <c r="C792" s="79" t="s">
        <v>15</v>
      </c>
      <c r="D792" s="25"/>
      <c r="E792" s="46"/>
      <c r="F792" s="138"/>
      <c r="G792" s="138"/>
      <c r="H792" s="138"/>
      <c r="I792" s="203"/>
      <c r="J792" s="203">
        <f t="shared" si="43"/>
        <v>0</v>
      </c>
    </row>
    <row r="793" spans="1:10" ht="12.75">
      <c r="A793" s="158">
        <f t="shared" si="39"/>
        <v>721</v>
      </c>
      <c r="B793" s="4"/>
      <c r="C793" s="79" t="s">
        <v>147</v>
      </c>
      <c r="D793" s="25"/>
      <c r="E793" s="46"/>
      <c r="F793" s="138">
        <v>0</v>
      </c>
      <c r="G793" s="138">
        <v>0</v>
      </c>
      <c r="H793" s="138">
        <v>74000</v>
      </c>
      <c r="I793" s="203"/>
      <c r="J793" s="203">
        <f t="shared" si="43"/>
        <v>0.001609726016800841</v>
      </c>
    </row>
    <row r="794" spans="1:10" ht="12.75">
      <c r="A794" s="158">
        <f t="shared" si="39"/>
        <v>722</v>
      </c>
      <c r="B794" s="4"/>
      <c r="C794" s="79" t="s">
        <v>148</v>
      </c>
      <c r="D794" s="25"/>
      <c r="E794" s="46"/>
      <c r="F794" s="138">
        <v>0</v>
      </c>
      <c r="G794" s="138">
        <v>0</v>
      </c>
      <c r="H794" s="138">
        <v>35420</v>
      </c>
      <c r="I794" s="203"/>
      <c r="J794" s="203">
        <f t="shared" si="43"/>
        <v>0.0007704931826362945</v>
      </c>
    </row>
    <row r="795" spans="1:10" ht="12.75">
      <c r="A795" s="158">
        <f t="shared" si="39"/>
        <v>723</v>
      </c>
      <c r="B795" s="4"/>
      <c r="C795" s="79" t="s">
        <v>47</v>
      </c>
      <c r="D795" s="25"/>
      <c r="E795" s="46"/>
      <c r="F795" s="138">
        <v>0</v>
      </c>
      <c r="G795" s="138">
        <v>0</v>
      </c>
      <c r="H795" s="138">
        <v>54700</v>
      </c>
      <c r="I795" s="203"/>
      <c r="J795" s="203">
        <f t="shared" si="43"/>
        <v>0.0011898920691757568</v>
      </c>
    </row>
    <row r="796" spans="1:10" ht="12.75">
      <c r="A796" s="158">
        <f t="shared" si="39"/>
        <v>724</v>
      </c>
      <c r="B796" s="4">
        <v>4040</v>
      </c>
      <c r="C796" s="79" t="s">
        <v>28</v>
      </c>
      <c r="D796" s="25"/>
      <c r="E796" s="46"/>
      <c r="F796" s="138">
        <f>SUM(F798:F800)</f>
        <v>0</v>
      </c>
      <c r="G796" s="138">
        <f>SUM(G798:G800)</f>
        <v>0</v>
      </c>
      <c r="H796" s="138">
        <f>SUM(H798:H800)</f>
        <v>12000</v>
      </c>
      <c r="I796" s="203"/>
      <c r="J796" s="203">
        <f t="shared" si="43"/>
        <v>0.00026103665137310934</v>
      </c>
    </row>
    <row r="797" spans="1:10" ht="12.75">
      <c r="A797" s="158">
        <f t="shared" si="39"/>
        <v>725</v>
      </c>
      <c r="B797" s="4"/>
      <c r="C797" s="79" t="s">
        <v>15</v>
      </c>
      <c r="D797" s="25"/>
      <c r="E797" s="46"/>
      <c r="F797" s="138"/>
      <c r="G797" s="138"/>
      <c r="H797" s="138"/>
      <c r="I797" s="203"/>
      <c r="J797" s="203">
        <f t="shared" si="43"/>
        <v>0</v>
      </c>
    </row>
    <row r="798" spans="1:10" ht="12.75">
      <c r="A798" s="158">
        <f t="shared" si="39"/>
        <v>726</v>
      </c>
      <c r="B798" s="4"/>
      <c r="C798" s="79" t="s">
        <v>147</v>
      </c>
      <c r="D798" s="25"/>
      <c r="E798" s="46"/>
      <c r="F798" s="138">
        <v>0</v>
      </c>
      <c r="G798" s="138">
        <v>0</v>
      </c>
      <c r="H798" s="138">
        <v>5600</v>
      </c>
      <c r="I798" s="203"/>
      <c r="J798" s="203">
        <f t="shared" si="43"/>
        <v>0.00012181710397411769</v>
      </c>
    </row>
    <row r="799" spans="1:10" ht="12.75">
      <c r="A799" s="158">
        <f t="shared" si="39"/>
        <v>727</v>
      </c>
      <c r="B799" s="4"/>
      <c r="C799" s="79" t="s">
        <v>148</v>
      </c>
      <c r="D799" s="25"/>
      <c r="E799" s="46"/>
      <c r="F799" s="138">
        <v>0</v>
      </c>
      <c r="G799" s="138">
        <v>0</v>
      </c>
      <c r="H799" s="138">
        <v>1800</v>
      </c>
      <c r="I799" s="203"/>
      <c r="J799" s="203">
        <f t="shared" si="43"/>
        <v>3.91554977059664E-05</v>
      </c>
    </row>
    <row r="800" spans="1:10" ht="12.75">
      <c r="A800" s="158">
        <f t="shared" si="39"/>
        <v>728</v>
      </c>
      <c r="B800" s="4"/>
      <c r="C800" s="79" t="s">
        <v>47</v>
      </c>
      <c r="D800" s="25"/>
      <c r="E800" s="46"/>
      <c r="F800" s="138">
        <v>0</v>
      </c>
      <c r="G800" s="138">
        <v>0</v>
      </c>
      <c r="H800" s="138">
        <v>4600</v>
      </c>
      <c r="I800" s="203"/>
      <c r="J800" s="203">
        <f t="shared" si="43"/>
        <v>0.00010006404969302524</v>
      </c>
    </row>
    <row r="801" spans="1:10" ht="12.75">
      <c r="A801" s="158">
        <f t="shared" si="39"/>
        <v>729</v>
      </c>
      <c r="B801" s="4">
        <v>4110</v>
      </c>
      <c r="C801" s="79" t="s">
        <v>32</v>
      </c>
      <c r="D801" s="25"/>
      <c r="E801" s="46"/>
      <c r="F801" s="138">
        <f>SUM(F803:F805)</f>
        <v>0</v>
      </c>
      <c r="G801" s="138">
        <f>SUM(G803:G805)</f>
        <v>0</v>
      </c>
      <c r="H801" s="138">
        <f>SUM(H803:H805)</f>
        <v>27580</v>
      </c>
      <c r="I801" s="203"/>
      <c r="J801" s="203">
        <f t="shared" si="43"/>
        <v>0.0005999492370725297</v>
      </c>
    </row>
    <row r="802" spans="1:10" ht="12.75">
      <c r="A802" s="158">
        <f t="shared" si="39"/>
        <v>730</v>
      </c>
      <c r="B802" s="4"/>
      <c r="C802" s="79" t="s">
        <v>15</v>
      </c>
      <c r="D802" s="25"/>
      <c r="E802" s="46"/>
      <c r="F802" s="138"/>
      <c r="G802" s="138"/>
      <c r="H802" s="138"/>
      <c r="I802" s="203"/>
      <c r="J802" s="203">
        <f t="shared" si="43"/>
        <v>0</v>
      </c>
    </row>
    <row r="803" spans="1:10" ht="12.75">
      <c r="A803" s="158">
        <f aca="true" t="shared" si="44" ref="A803:A866">A802+1</f>
        <v>731</v>
      </c>
      <c r="B803" s="4"/>
      <c r="C803" s="79" t="s">
        <v>147</v>
      </c>
      <c r="D803" s="25"/>
      <c r="E803" s="46"/>
      <c r="F803" s="138">
        <v>0</v>
      </c>
      <c r="G803" s="138">
        <v>0</v>
      </c>
      <c r="H803" s="138">
        <v>13100</v>
      </c>
      <c r="I803" s="203"/>
      <c r="J803" s="203">
        <f t="shared" si="43"/>
        <v>0.00028496501108231105</v>
      </c>
    </row>
    <row r="804" spans="1:10" ht="12.75">
      <c r="A804" s="158">
        <f t="shared" si="44"/>
        <v>732</v>
      </c>
      <c r="B804" s="4"/>
      <c r="C804" s="79" t="s">
        <v>148</v>
      </c>
      <c r="D804" s="25"/>
      <c r="E804" s="46"/>
      <c r="F804" s="138">
        <v>0</v>
      </c>
      <c r="G804" s="138">
        <v>0</v>
      </c>
      <c r="H804" s="138">
        <v>4280</v>
      </c>
      <c r="I804" s="203"/>
      <c r="J804" s="203">
        <f t="shared" si="43"/>
        <v>9.310307232307566E-05</v>
      </c>
    </row>
    <row r="805" spans="1:10" ht="12.75">
      <c r="A805" s="158">
        <f t="shared" si="44"/>
        <v>733</v>
      </c>
      <c r="B805" s="4"/>
      <c r="C805" s="79" t="s">
        <v>47</v>
      </c>
      <c r="D805" s="25"/>
      <c r="E805" s="46"/>
      <c r="F805" s="138">
        <v>0</v>
      </c>
      <c r="G805" s="138">
        <v>0</v>
      </c>
      <c r="H805" s="138">
        <v>10200</v>
      </c>
      <c r="I805" s="203"/>
      <c r="J805" s="203">
        <f t="shared" si="43"/>
        <v>0.00022188115366714295</v>
      </c>
    </row>
    <row r="806" spans="1:10" ht="12.75">
      <c r="A806" s="158">
        <f t="shared" si="44"/>
        <v>734</v>
      </c>
      <c r="B806" s="4">
        <v>4120</v>
      </c>
      <c r="C806" s="79" t="s">
        <v>33</v>
      </c>
      <c r="D806" s="25"/>
      <c r="E806" s="46"/>
      <c r="F806" s="138">
        <f>SUM(F808:F810)</f>
        <v>0</v>
      </c>
      <c r="G806" s="138">
        <f>SUM(G808:G810)</f>
        <v>0</v>
      </c>
      <c r="H806" s="138">
        <f>SUM(H808:H810)</f>
        <v>3980</v>
      </c>
      <c r="I806" s="203"/>
      <c r="J806" s="203">
        <f t="shared" si="43"/>
        <v>8.657715603874793E-05</v>
      </c>
    </row>
    <row r="807" spans="1:10" ht="12.75">
      <c r="A807" s="158">
        <f t="shared" si="44"/>
        <v>735</v>
      </c>
      <c r="B807" s="4"/>
      <c r="C807" s="79" t="s">
        <v>15</v>
      </c>
      <c r="D807" s="25"/>
      <c r="E807" s="46"/>
      <c r="F807" s="138"/>
      <c r="G807" s="138"/>
      <c r="H807" s="138"/>
      <c r="I807" s="203"/>
      <c r="J807" s="203">
        <f t="shared" si="43"/>
        <v>0</v>
      </c>
    </row>
    <row r="808" spans="1:10" ht="12.75">
      <c r="A808" s="158">
        <f t="shared" si="44"/>
        <v>736</v>
      </c>
      <c r="B808" s="4"/>
      <c r="C808" s="79" t="s">
        <v>147</v>
      </c>
      <c r="D808" s="25"/>
      <c r="E808" s="46"/>
      <c r="F808" s="138">
        <v>0</v>
      </c>
      <c r="G808" s="138">
        <v>0</v>
      </c>
      <c r="H808" s="138">
        <v>1900</v>
      </c>
      <c r="I808" s="203"/>
      <c r="J808" s="203">
        <f t="shared" si="43"/>
        <v>4.133080313407565E-05</v>
      </c>
    </row>
    <row r="809" spans="1:10" ht="12.75">
      <c r="A809" s="158">
        <f t="shared" si="44"/>
        <v>737</v>
      </c>
      <c r="B809" s="4"/>
      <c r="C809" s="79" t="s">
        <v>148</v>
      </c>
      <c r="D809" s="25"/>
      <c r="E809" s="46"/>
      <c r="F809" s="138">
        <v>0</v>
      </c>
      <c r="G809" s="138">
        <v>0</v>
      </c>
      <c r="H809" s="138">
        <v>680</v>
      </c>
      <c r="I809" s="203"/>
      <c r="J809" s="203">
        <f t="shared" si="43"/>
        <v>1.4792076911142863E-05</v>
      </c>
    </row>
    <row r="810" spans="1:10" ht="12.75">
      <c r="A810" s="158">
        <f t="shared" si="44"/>
        <v>738</v>
      </c>
      <c r="B810" s="4"/>
      <c r="C810" s="79" t="s">
        <v>47</v>
      </c>
      <c r="D810" s="25"/>
      <c r="E810" s="46"/>
      <c r="F810" s="138">
        <v>0</v>
      </c>
      <c r="G810" s="138">
        <v>0</v>
      </c>
      <c r="H810" s="138">
        <v>1400</v>
      </c>
      <c r="I810" s="203"/>
      <c r="J810" s="203">
        <f t="shared" si="43"/>
        <v>3.0454275993529422E-05</v>
      </c>
    </row>
    <row r="811" spans="1:10" ht="12.75">
      <c r="A811" s="158">
        <f t="shared" si="44"/>
        <v>739</v>
      </c>
      <c r="B811" s="4">
        <v>4210</v>
      </c>
      <c r="C811" s="79" t="s">
        <v>136</v>
      </c>
      <c r="D811" s="25"/>
      <c r="E811" s="46"/>
      <c r="F811" s="138">
        <f>SUM(F813:F815)</f>
        <v>0</v>
      </c>
      <c r="G811" s="138">
        <f>SUM(G813:G815)</f>
        <v>0</v>
      </c>
      <c r="H811" s="138">
        <f>SUM(H813:H815)</f>
        <v>9770</v>
      </c>
      <c r="I811" s="203"/>
      <c r="J811" s="203">
        <f t="shared" si="43"/>
        <v>0.0002125273403262732</v>
      </c>
    </row>
    <row r="812" spans="1:10" ht="12.75">
      <c r="A812" s="158">
        <f t="shared" si="44"/>
        <v>740</v>
      </c>
      <c r="B812" s="4"/>
      <c r="C812" s="79" t="s">
        <v>15</v>
      </c>
      <c r="D812" s="25"/>
      <c r="E812" s="46"/>
      <c r="F812" s="138"/>
      <c r="G812" s="138"/>
      <c r="H812" s="138"/>
      <c r="I812" s="203"/>
      <c r="J812" s="203">
        <f t="shared" si="43"/>
        <v>0</v>
      </c>
    </row>
    <row r="813" spans="1:10" ht="12.75">
      <c r="A813" s="158">
        <f t="shared" si="44"/>
        <v>741</v>
      </c>
      <c r="B813" s="4"/>
      <c r="C813" s="79" t="s">
        <v>147</v>
      </c>
      <c r="D813" s="25"/>
      <c r="E813" s="46"/>
      <c r="F813" s="138">
        <v>0</v>
      </c>
      <c r="G813" s="138">
        <v>0</v>
      </c>
      <c r="H813" s="138">
        <v>7000</v>
      </c>
      <c r="I813" s="203"/>
      <c r="J813" s="203">
        <f t="shared" si="43"/>
        <v>0.00015227137996764713</v>
      </c>
    </row>
    <row r="814" spans="1:10" ht="12.75">
      <c r="A814" s="158">
        <f t="shared" si="44"/>
        <v>742</v>
      </c>
      <c r="B814" s="4"/>
      <c r="C814" s="79" t="s">
        <v>148</v>
      </c>
      <c r="D814" s="25"/>
      <c r="E814" s="46"/>
      <c r="F814" s="138">
        <v>0</v>
      </c>
      <c r="G814" s="138">
        <v>0</v>
      </c>
      <c r="H814" s="138">
        <v>570</v>
      </c>
      <c r="I814" s="203"/>
      <c r="J814" s="203">
        <f t="shared" si="43"/>
        <v>1.2399240940222693E-05</v>
      </c>
    </row>
    <row r="815" spans="1:10" ht="12.75">
      <c r="A815" s="158">
        <f t="shared" si="44"/>
        <v>743</v>
      </c>
      <c r="B815" s="4"/>
      <c r="C815" s="79" t="s">
        <v>47</v>
      </c>
      <c r="D815" s="25"/>
      <c r="E815" s="46"/>
      <c r="F815" s="138">
        <v>0</v>
      </c>
      <c r="G815" s="138">
        <v>0</v>
      </c>
      <c r="H815" s="138">
        <v>2200</v>
      </c>
      <c r="I815" s="203"/>
      <c r="J815" s="203">
        <f aca="true" t="shared" si="45" ref="J815:J851">H815/$H$1363</f>
        <v>4.785671941840338E-05</v>
      </c>
    </row>
    <row r="816" spans="1:10" ht="12.75">
      <c r="A816" s="158">
        <f t="shared" si="44"/>
        <v>744</v>
      </c>
      <c r="B816" s="4">
        <v>4220</v>
      </c>
      <c r="C816" s="79" t="s">
        <v>141</v>
      </c>
      <c r="D816" s="25"/>
      <c r="E816" s="46"/>
      <c r="F816" s="138">
        <f>SUM(F818:F820)</f>
        <v>0</v>
      </c>
      <c r="G816" s="138">
        <f>SUM(G818:G820)</f>
        <v>0</v>
      </c>
      <c r="H816" s="138">
        <f>SUM(H818:H820)</f>
        <v>187740</v>
      </c>
      <c r="I816" s="203"/>
      <c r="J816" s="203">
        <f t="shared" si="45"/>
        <v>0.004083918410732296</v>
      </c>
    </row>
    <row r="817" spans="1:10" ht="12.75">
      <c r="A817" s="158">
        <f t="shared" si="44"/>
        <v>745</v>
      </c>
      <c r="B817" s="4"/>
      <c r="C817" s="79" t="s">
        <v>15</v>
      </c>
      <c r="D817" s="25"/>
      <c r="E817" s="46"/>
      <c r="F817" s="138"/>
      <c r="G817" s="138"/>
      <c r="H817" s="138"/>
      <c r="I817" s="203"/>
      <c r="J817" s="203">
        <f t="shared" si="45"/>
        <v>0</v>
      </c>
    </row>
    <row r="818" spans="1:10" ht="12.75">
      <c r="A818" s="158">
        <f t="shared" si="44"/>
        <v>746</v>
      </c>
      <c r="B818" s="4"/>
      <c r="C818" s="79" t="s">
        <v>147</v>
      </c>
      <c r="D818" s="25"/>
      <c r="E818" s="46"/>
      <c r="F818" s="138">
        <v>0</v>
      </c>
      <c r="G818" s="138">
        <v>0</v>
      </c>
      <c r="H818" s="138">
        <v>82500</v>
      </c>
      <c r="I818" s="203"/>
      <c r="J818" s="203">
        <f t="shared" si="45"/>
        <v>0.0017946269781901267</v>
      </c>
    </row>
    <row r="819" spans="1:10" ht="12.75">
      <c r="A819" s="158">
        <f t="shared" si="44"/>
        <v>747</v>
      </c>
      <c r="B819" s="4"/>
      <c r="C819" s="79" t="s">
        <v>148</v>
      </c>
      <c r="D819" s="25"/>
      <c r="E819" s="46"/>
      <c r="F819" s="138">
        <v>0</v>
      </c>
      <c r="G819" s="138">
        <v>0</v>
      </c>
      <c r="H819" s="138">
        <v>27540</v>
      </c>
      <c r="I819" s="203"/>
      <c r="J819" s="203">
        <f t="shared" si="45"/>
        <v>0.0005990791149012859</v>
      </c>
    </row>
    <row r="820" spans="1:10" ht="12.75">
      <c r="A820" s="158">
        <f t="shared" si="44"/>
        <v>748</v>
      </c>
      <c r="B820" s="4"/>
      <c r="C820" s="79" t="s">
        <v>47</v>
      </c>
      <c r="D820" s="25"/>
      <c r="E820" s="46"/>
      <c r="F820" s="138">
        <v>0</v>
      </c>
      <c r="G820" s="138">
        <v>0</v>
      </c>
      <c r="H820" s="138">
        <v>77700</v>
      </c>
      <c r="I820" s="203"/>
      <c r="J820" s="203">
        <f t="shared" si="45"/>
        <v>0.001690212317640883</v>
      </c>
    </row>
    <row r="821" spans="1:10" ht="12.75">
      <c r="A821" s="158">
        <f t="shared" si="44"/>
        <v>749</v>
      </c>
      <c r="B821" s="4">
        <v>4260</v>
      </c>
      <c r="C821" s="79" t="s">
        <v>138</v>
      </c>
      <c r="D821" s="25"/>
      <c r="E821" s="46"/>
      <c r="F821" s="138">
        <f>SUM(F823:F825)</f>
        <v>0</v>
      </c>
      <c r="G821" s="138">
        <f>SUM(G823:G825)</f>
        <v>0</v>
      </c>
      <c r="H821" s="138">
        <f>SUM(H823:H825)</f>
        <v>13500</v>
      </c>
      <c r="I821" s="203"/>
      <c r="J821" s="203">
        <f t="shared" si="45"/>
        <v>0.000293666232794748</v>
      </c>
    </row>
    <row r="822" spans="1:10" ht="12.75">
      <c r="A822" s="158">
        <f t="shared" si="44"/>
        <v>750</v>
      </c>
      <c r="B822" s="4"/>
      <c r="C822" s="79" t="s">
        <v>15</v>
      </c>
      <c r="D822" s="25"/>
      <c r="E822" s="46"/>
      <c r="F822" s="138"/>
      <c r="G822" s="138"/>
      <c r="H822" s="138"/>
      <c r="I822" s="203"/>
      <c r="J822" s="203">
        <f t="shared" si="45"/>
        <v>0</v>
      </c>
    </row>
    <row r="823" spans="1:10" ht="12.75">
      <c r="A823" s="158">
        <f t="shared" si="44"/>
        <v>751</v>
      </c>
      <c r="B823" s="4"/>
      <c r="C823" s="79" t="s">
        <v>147</v>
      </c>
      <c r="D823" s="25"/>
      <c r="E823" s="46"/>
      <c r="F823" s="138">
        <v>0</v>
      </c>
      <c r="G823" s="138">
        <v>0</v>
      </c>
      <c r="H823" s="138">
        <v>10200</v>
      </c>
      <c r="I823" s="203"/>
      <c r="J823" s="203">
        <f t="shared" si="45"/>
        <v>0.00022188115366714295</v>
      </c>
    </row>
    <row r="824" spans="1:10" ht="12.75">
      <c r="A824" s="158">
        <f t="shared" si="44"/>
        <v>752</v>
      </c>
      <c r="B824" s="4"/>
      <c r="C824" s="79" t="s">
        <v>148</v>
      </c>
      <c r="D824" s="25"/>
      <c r="E824" s="46"/>
      <c r="F824" s="138">
        <v>0</v>
      </c>
      <c r="G824" s="138">
        <v>0</v>
      </c>
      <c r="H824" s="138">
        <v>1100</v>
      </c>
      <c r="I824" s="203"/>
      <c r="J824" s="203">
        <f t="shared" si="45"/>
        <v>2.392835970920169E-05</v>
      </c>
    </row>
    <row r="825" spans="1:10" ht="12.75">
      <c r="A825" s="158">
        <f t="shared" si="44"/>
        <v>753</v>
      </c>
      <c r="B825" s="4"/>
      <c r="C825" s="79" t="s">
        <v>47</v>
      </c>
      <c r="D825" s="25"/>
      <c r="E825" s="46"/>
      <c r="F825" s="138">
        <v>0</v>
      </c>
      <c r="G825" s="138">
        <v>0</v>
      </c>
      <c r="H825" s="138">
        <v>2200</v>
      </c>
      <c r="I825" s="203"/>
      <c r="J825" s="203">
        <f t="shared" si="45"/>
        <v>4.785671941840338E-05</v>
      </c>
    </row>
    <row r="826" spans="1:10" ht="12.75">
      <c r="A826" s="158">
        <f t="shared" si="44"/>
        <v>754</v>
      </c>
      <c r="B826" s="4">
        <v>4270</v>
      </c>
      <c r="C826" s="79" t="s">
        <v>135</v>
      </c>
      <c r="D826" s="25"/>
      <c r="E826" s="46"/>
      <c r="F826" s="138">
        <f>SUM(F828:F830)</f>
        <v>0</v>
      </c>
      <c r="G826" s="138">
        <f>SUM(G828:G830)</f>
        <v>0</v>
      </c>
      <c r="H826" s="138">
        <f>SUM(H828:H830)</f>
        <v>5400</v>
      </c>
      <c r="I826" s="203"/>
      <c r="J826" s="203">
        <f t="shared" si="45"/>
        <v>0.0001174664931178992</v>
      </c>
    </row>
    <row r="827" spans="1:10" ht="12.75">
      <c r="A827" s="158">
        <f t="shared" si="44"/>
        <v>755</v>
      </c>
      <c r="B827" s="4"/>
      <c r="C827" s="79" t="s">
        <v>15</v>
      </c>
      <c r="D827" s="25"/>
      <c r="E827" s="46"/>
      <c r="F827" s="138"/>
      <c r="G827" s="138"/>
      <c r="H827" s="138"/>
      <c r="I827" s="203"/>
      <c r="J827" s="203">
        <f t="shared" si="45"/>
        <v>0</v>
      </c>
    </row>
    <row r="828" spans="1:10" ht="12.75">
      <c r="A828" s="158">
        <f t="shared" si="44"/>
        <v>756</v>
      </c>
      <c r="B828" s="4"/>
      <c r="C828" s="79" t="s">
        <v>147</v>
      </c>
      <c r="D828" s="25"/>
      <c r="E828" s="46"/>
      <c r="F828" s="138">
        <v>0</v>
      </c>
      <c r="G828" s="138">
        <v>0</v>
      </c>
      <c r="H828" s="138">
        <v>5000</v>
      </c>
      <c r="I828" s="203"/>
      <c r="J828" s="203">
        <f t="shared" si="45"/>
        <v>0.00010876527140546222</v>
      </c>
    </row>
    <row r="829" spans="1:10" ht="12.75">
      <c r="A829" s="158">
        <f t="shared" si="44"/>
        <v>757</v>
      </c>
      <c r="B829" s="4"/>
      <c r="C829" s="79" t="s">
        <v>148</v>
      </c>
      <c r="D829" s="25"/>
      <c r="E829" s="46"/>
      <c r="F829" s="138">
        <v>0</v>
      </c>
      <c r="G829" s="138">
        <v>0</v>
      </c>
      <c r="H829" s="138">
        <v>400</v>
      </c>
      <c r="I829" s="203"/>
      <c r="J829" s="203">
        <f t="shared" si="45"/>
        <v>8.701221712436977E-06</v>
      </c>
    </row>
    <row r="830" spans="1:10" ht="12.75">
      <c r="A830" s="158">
        <f t="shared" si="44"/>
        <v>758</v>
      </c>
      <c r="B830" s="4"/>
      <c r="C830" s="79" t="s">
        <v>551</v>
      </c>
      <c r="D830" s="25"/>
      <c r="E830" s="46"/>
      <c r="F830" s="138">
        <v>0</v>
      </c>
      <c r="G830" s="138">
        <v>0</v>
      </c>
      <c r="H830" s="138">
        <v>0</v>
      </c>
      <c r="I830" s="203"/>
      <c r="J830" s="203">
        <f t="shared" si="45"/>
        <v>0</v>
      </c>
    </row>
    <row r="831" spans="1:10" ht="12.75">
      <c r="A831" s="158">
        <f t="shared" si="44"/>
        <v>759</v>
      </c>
      <c r="B831" s="4">
        <v>4300</v>
      </c>
      <c r="C831" s="79" t="s">
        <v>134</v>
      </c>
      <c r="D831" s="25"/>
      <c r="E831" s="46"/>
      <c r="F831" s="138">
        <f>SUM(F833:F835)</f>
        <v>0</v>
      </c>
      <c r="G831" s="138">
        <f>SUM(G833:G835)</f>
        <v>0</v>
      </c>
      <c r="H831" s="138">
        <f>SUM(H833:H835)</f>
        <v>400</v>
      </c>
      <c r="I831" s="203"/>
      <c r="J831" s="203">
        <f t="shared" si="45"/>
        <v>8.701221712436977E-06</v>
      </c>
    </row>
    <row r="832" spans="1:10" ht="12.75">
      <c r="A832" s="158">
        <f t="shared" si="44"/>
        <v>760</v>
      </c>
      <c r="B832" s="4"/>
      <c r="C832" s="79" t="s">
        <v>15</v>
      </c>
      <c r="D832" s="25"/>
      <c r="E832" s="46"/>
      <c r="F832" s="138"/>
      <c r="G832" s="138"/>
      <c r="H832" s="138"/>
      <c r="I832" s="203"/>
      <c r="J832" s="203">
        <f t="shared" si="45"/>
        <v>0</v>
      </c>
    </row>
    <row r="833" spans="1:10" ht="12.75">
      <c r="A833" s="158">
        <f t="shared" si="44"/>
        <v>761</v>
      </c>
      <c r="B833" s="4"/>
      <c r="C833" s="79" t="s">
        <v>147</v>
      </c>
      <c r="D833" s="25"/>
      <c r="E833" s="46"/>
      <c r="F833" s="138">
        <v>0</v>
      </c>
      <c r="G833" s="138">
        <v>0</v>
      </c>
      <c r="H833" s="138">
        <v>0</v>
      </c>
      <c r="I833" s="203"/>
      <c r="J833" s="203">
        <f t="shared" si="45"/>
        <v>0</v>
      </c>
    </row>
    <row r="834" spans="1:10" ht="12.75">
      <c r="A834" s="158">
        <f t="shared" si="44"/>
        <v>762</v>
      </c>
      <c r="B834" s="4"/>
      <c r="C834" s="79" t="s">
        <v>148</v>
      </c>
      <c r="D834" s="25"/>
      <c r="E834" s="46"/>
      <c r="F834" s="138">
        <v>0</v>
      </c>
      <c r="G834" s="138">
        <v>0</v>
      </c>
      <c r="H834" s="138">
        <v>400</v>
      </c>
      <c r="I834" s="203"/>
      <c r="J834" s="203">
        <f t="shared" si="45"/>
        <v>8.701221712436977E-06</v>
      </c>
    </row>
    <row r="835" spans="1:10" ht="12.75">
      <c r="A835" s="158">
        <f t="shared" si="44"/>
        <v>763</v>
      </c>
      <c r="B835" s="4"/>
      <c r="C835" s="79" t="s">
        <v>551</v>
      </c>
      <c r="D835" s="25"/>
      <c r="E835" s="46"/>
      <c r="F835" s="138">
        <v>0</v>
      </c>
      <c r="G835" s="138">
        <v>0</v>
      </c>
      <c r="H835" s="138">
        <v>0</v>
      </c>
      <c r="I835" s="203"/>
      <c r="J835" s="203">
        <f t="shared" si="45"/>
        <v>0</v>
      </c>
    </row>
    <row r="836" spans="1:10" ht="12.75">
      <c r="A836" s="158">
        <f t="shared" si="44"/>
        <v>764</v>
      </c>
      <c r="B836" s="4">
        <v>4440</v>
      </c>
      <c r="C836" s="79" t="s">
        <v>679</v>
      </c>
      <c r="D836" s="25"/>
      <c r="E836" s="46"/>
      <c r="F836" s="138">
        <f>SUM(F838:F840)</f>
        <v>0</v>
      </c>
      <c r="G836" s="138">
        <f>SUM(G838:G840)</f>
        <v>0</v>
      </c>
      <c r="H836" s="138">
        <f>SUM(H838:H840)</f>
        <v>5850</v>
      </c>
      <c r="I836" s="203"/>
      <c r="J836" s="203">
        <f t="shared" si="45"/>
        <v>0.0001272553675443908</v>
      </c>
    </row>
    <row r="837" spans="1:10" ht="12.75">
      <c r="A837" s="158">
        <f t="shared" si="44"/>
        <v>765</v>
      </c>
      <c r="B837" s="4"/>
      <c r="C837" s="79" t="s">
        <v>15</v>
      </c>
      <c r="D837" s="25"/>
      <c r="E837" s="46"/>
      <c r="F837" s="138"/>
      <c r="G837" s="138"/>
      <c r="H837" s="138"/>
      <c r="I837" s="203"/>
      <c r="J837" s="203">
        <f t="shared" si="45"/>
        <v>0</v>
      </c>
    </row>
    <row r="838" spans="1:10" ht="12.75">
      <c r="A838" s="158">
        <f t="shared" si="44"/>
        <v>766</v>
      </c>
      <c r="B838" s="4"/>
      <c r="C838" s="79" t="s">
        <v>147</v>
      </c>
      <c r="D838" s="25"/>
      <c r="E838" s="46"/>
      <c r="F838" s="138">
        <v>0</v>
      </c>
      <c r="G838" s="138">
        <v>0</v>
      </c>
      <c r="H838" s="138">
        <v>2400</v>
      </c>
      <c r="I838" s="203"/>
      <c r="J838" s="203">
        <f t="shared" si="45"/>
        <v>5.220733027462187E-05</v>
      </c>
    </row>
    <row r="839" spans="1:10" ht="12.75">
      <c r="A839" s="158">
        <f t="shared" si="44"/>
        <v>767</v>
      </c>
      <c r="B839" s="4"/>
      <c r="C839" s="79" t="s">
        <v>148</v>
      </c>
      <c r="D839" s="25"/>
      <c r="E839" s="46"/>
      <c r="F839" s="138">
        <v>0</v>
      </c>
      <c r="G839" s="138">
        <v>0</v>
      </c>
      <c r="H839" s="138">
        <v>1050</v>
      </c>
      <c r="I839" s="203"/>
      <c r="J839" s="203">
        <f t="shared" si="45"/>
        <v>2.284070699514707E-05</v>
      </c>
    </row>
    <row r="840" spans="1:10" ht="12.75">
      <c r="A840" s="158">
        <f t="shared" si="44"/>
        <v>768</v>
      </c>
      <c r="B840" s="4"/>
      <c r="C840" s="79" t="s">
        <v>551</v>
      </c>
      <c r="D840" s="25"/>
      <c r="E840" s="46"/>
      <c r="F840" s="138">
        <v>0</v>
      </c>
      <c r="G840" s="138">
        <v>0</v>
      </c>
      <c r="H840" s="138">
        <v>2400</v>
      </c>
      <c r="I840" s="203"/>
      <c r="J840" s="203">
        <f t="shared" si="45"/>
        <v>5.220733027462187E-05</v>
      </c>
    </row>
    <row r="841" spans="1:10" ht="12.75">
      <c r="A841" s="158">
        <f t="shared" si="44"/>
        <v>769</v>
      </c>
      <c r="B841" s="4"/>
      <c r="C841" s="79"/>
      <c r="D841" s="25"/>
      <c r="E841" s="46"/>
      <c r="F841" s="138"/>
      <c r="G841" s="138"/>
      <c r="H841" s="138"/>
      <c r="I841" s="203"/>
      <c r="J841" s="203">
        <f t="shared" si="45"/>
        <v>0</v>
      </c>
    </row>
    <row r="842" spans="1:10" s="73" customFormat="1" ht="12.75">
      <c r="A842" s="158">
        <f t="shared" si="44"/>
        <v>770</v>
      </c>
      <c r="B842" s="62">
        <v>80195</v>
      </c>
      <c r="C842" s="68" t="s">
        <v>25</v>
      </c>
      <c r="D842" s="63"/>
      <c r="E842" s="64" t="e">
        <f>E851++#REF!+E857+E864</f>
        <v>#REF!</v>
      </c>
      <c r="F842" s="63">
        <f>F843+F847+F851+F856+F858+F864+F853</f>
        <v>1381208.75</v>
      </c>
      <c r="G842" s="63">
        <f>G843+G847+G851+G856+G858+G864+G853</f>
        <v>723750.06</v>
      </c>
      <c r="H842" s="63">
        <f>H843+H847+H851+H856+H858+H864+H853</f>
        <v>6148310</v>
      </c>
      <c r="I842" s="203">
        <f aca="true" t="shared" si="46" ref="I842:I851">H842/G842</f>
        <v>8.495073561721016</v>
      </c>
      <c r="J842" s="203">
        <f t="shared" si="45"/>
        <v>0.1337445211669835</v>
      </c>
    </row>
    <row r="843" spans="1:10" s="60" customFormat="1" ht="12.75">
      <c r="A843" s="158">
        <f t="shared" si="44"/>
        <v>771</v>
      </c>
      <c r="B843" s="85">
        <v>4010</v>
      </c>
      <c r="C843" s="79" t="s">
        <v>179</v>
      </c>
      <c r="D843" s="84"/>
      <c r="E843" s="83"/>
      <c r="F843" s="144">
        <f>SUM(F845:F846)</f>
        <v>0</v>
      </c>
      <c r="G843" s="144">
        <f>SUM(G845:G846)</f>
        <v>0</v>
      </c>
      <c r="H843" s="144">
        <f>SUM(H845:H846)</f>
        <v>16300</v>
      </c>
      <c r="I843" s="203"/>
      <c r="J843" s="203">
        <f t="shared" si="45"/>
        <v>0.00035457478478180684</v>
      </c>
    </row>
    <row r="844" spans="1:10" s="60" customFormat="1" ht="12.75">
      <c r="A844" s="158">
        <f t="shared" si="44"/>
        <v>772</v>
      </c>
      <c r="B844" s="85"/>
      <c r="C844" s="79" t="s">
        <v>15</v>
      </c>
      <c r="D844" s="84"/>
      <c r="E844" s="83"/>
      <c r="F844" s="144"/>
      <c r="G844" s="144"/>
      <c r="H844" s="144"/>
      <c r="I844" s="203"/>
      <c r="J844" s="203"/>
    </row>
    <row r="845" spans="1:10" s="60" customFormat="1" ht="12.75">
      <c r="A845" s="158">
        <f t="shared" si="44"/>
        <v>773</v>
      </c>
      <c r="B845" s="85"/>
      <c r="C845" s="79" t="s">
        <v>335</v>
      </c>
      <c r="D845" s="84"/>
      <c r="E845" s="83"/>
      <c r="F845" s="144">
        <f>5600-5600</f>
        <v>0</v>
      </c>
      <c r="G845" s="144">
        <v>0</v>
      </c>
      <c r="H845" s="144">
        <v>6300</v>
      </c>
      <c r="I845" s="203"/>
      <c r="J845" s="203">
        <f t="shared" si="45"/>
        <v>0.00013704424197088242</v>
      </c>
    </row>
    <row r="846" spans="1:10" s="60" customFormat="1" ht="12.75">
      <c r="A846" s="158">
        <f t="shared" si="44"/>
        <v>774</v>
      </c>
      <c r="B846" s="85"/>
      <c r="C846" s="79" t="s">
        <v>336</v>
      </c>
      <c r="D846" s="84"/>
      <c r="E846" s="83"/>
      <c r="F846" s="144">
        <f>5000-5000</f>
        <v>0</v>
      </c>
      <c r="G846" s="144">
        <v>0</v>
      </c>
      <c r="H846" s="144">
        <v>10000</v>
      </c>
      <c r="I846" s="203"/>
      <c r="J846" s="203">
        <f t="shared" si="45"/>
        <v>0.00021753054281092445</v>
      </c>
    </row>
    <row r="847" spans="1:10" s="60" customFormat="1" ht="12.75">
      <c r="A847" s="158">
        <f t="shared" si="44"/>
        <v>775</v>
      </c>
      <c r="B847" s="85">
        <v>4170</v>
      </c>
      <c r="C847" s="79" t="s">
        <v>231</v>
      </c>
      <c r="D847" s="84"/>
      <c r="E847" s="83"/>
      <c r="F847" s="144">
        <f>SUM(F849:F850)</f>
        <v>16200</v>
      </c>
      <c r="G847" s="144">
        <f>SUM(G849:G850)</f>
        <v>16000</v>
      </c>
      <c r="H847" s="144">
        <f>SUM(H849:H850)</f>
        <v>2400</v>
      </c>
      <c r="I847" s="203">
        <f t="shared" si="46"/>
        <v>0.15</v>
      </c>
      <c r="J847" s="203">
        <f t="shared" si="45"/>
        <v>5.220733027462187E-05</v>
      </c>
    </row>
    <row r="848" spans="1:10" s="60" customFormat="1" ht="12.75">
      <c r="A848" s="158">
        <f t="shared" si="44"/>
        <v>776</v>
      </c>
      <c r="B848" s="85"/>
      <c r="C848" s="79" t="s">
        <v>15</v>
      </c>
      <c r="D848" s="84"/>
      <c r="E848" s="83"/>
      <c r="F848" s="144"/>
      <c r="G848" s="144"/>
      <c r="H848" s="144"/>
      <c r="I848" s="203"/>
      <c r="J848" s="203"/>
    </row>
    <row r="849" spans="1:10" s="60" customFormat="1" ht="12.75">
      <c r="A849" s="158">
        <f t="shared" si="44"/>
        <v>777</v>
      </c>
      <c r="B849" s="85"/>
      <c r="C849" s="79" t="s">
        <v>460</v>
      </c>
      <c r="D849" s="84"/>
      <c r="E849" s="83"/>
      <c r="F849" s="144">
        <v>1200</v>
      </c>
      <c r="G849" s="144">
        <v>1000</v>
      </c>
      <c r="H849" s="144">
        <v>2400</v>
      </c>
      <c r="I849" s="203">
        <f t="shared" si="46"/>
        <v>2.4</v>
      </c>
      <c r="J849" s="203">
        <f t="shared" si="45"/>
        <v>5.220733027462187E-05</v>
      </c>
    </row>
    <row r="850" spans="1:10" s="60" customFormat="1" ht="12.75">
      <c r="A850" s="158">
        <f t="shared" si="44"/>
        <v>778</v>
      </c>
      <c r="B850" s="85"/>
      <c r="C850" s="106" t="s">
        <v>461</v>
      </c>
      <c r="D850" s="84"/>
      <c r="E850" s="83"/>
      <c r="F850" s="144">
        <v>15000</v>
      </c>
      <c r="G850" s="144">
        <v>15000</v>
      </c>
      <c r="H850" s="144">
        <v>0</v>
      </c>
      <c r="I850" s="203">
        <f t="shared" si="46"/>
        <v>0</v>
      </c>
      <c r="J850" s="203">
        <f t="shared" si="45"/>
        <v>0</v>
      </c>
    </row>
    <row r="851" spans="1:10" ht="12.75">
      <c r="A851" s="158">
        <f t="shared" si="44"/>
        <v>779</v>
      </c>
      <c r="B851" s="4">
        <v>4210</v>
      </c>
      <c r="C851" s="79" t="s">
        <v>144</v>
      </c>
      <c r="D851" s="25"/>
      <c r="E851" s="46">
        <v>2600</v>
      </c>
      <c r="F851" s="138">
        <v>1000</v>
      </c>
      <c r="G851" s="138">
        <v>1000</v>
      </c>
      <c r="H851" s="138">
        <v>8700</v>
      </c>
      <c r="I851" s="203">
        <f t="shared" si="46"/>
        <v>8.7</v>
      </c>
      <c r="J851" s="203">
        <f t="shared" si="45"/>
        <v>0.00018925157224550427</v>
      </c>
    </row>
    <row r="852" spans="1:10" ht="12.75">
      <c r="A852" s="158">
        <f t="shared" si="44"/>
        <v>780</v>
      </c>
      <c r="B852" s="4">
        <v>4240</v>
      </c>
      <c r="C852" s="79" t="s">
        <v>601</v>
      </c>
      <c r="D852" s="25"/>
      <c r="E852" s="46"/>
      <c r="F852" s="138"/>
      <c r="G852" s="138"/>
      <c r="H852" s="138"/>
      <c r="I852" s="203"/>
      <c r="J852" s="203"/>
    </row>
    <row r="853" spans="1:10" ht="12.75">
      <c r="A853" s="158">
        <f t="shared" si="44"/>
        <v>781</v>
      </c>
      <c r="B853" s="4"/>
      <c r="C853" s="79" t="s">
        <v>602</v>
      </c>
      <c r="D853" s="25"/>
      <c r="E853" s="46"/>
      <c r="F853" s="138">
        <v>920</v>
      </c>
      <c r="G853" s="138">
        <v>920</v>
      </c>
      <c r="H853" s="138">
        <v>0</v>
      </c>
      <c r="I853" s="203"/>
      <c r="J853" s="203"/>
    </row>
    <row r="854" spans="1:10" ht="12.75">
      <c r="A854" s="158">
        <f t="shared" si="44"/>
        <v>782</v>
      </c>
      <c r="B854" s="4">
        <v>4300</v>
      </c>
      <c r="C854" s="79" t="s">
        <v>462</v>
      </c>
      <c r="D854" s="25"/>
      <c r="E854" s="46"/>
      <c r="F854" s="138"/>
      <c r="G854" s="138"/>
      <c r="H854" s="138"/>
      <c r="I854" s="203"/>
      <c r="J854" s="203">
        <f>H854/$H$1363</f>
        <v>0</v>
      </c>
    </row>
    <row r="855" spans="1:10" ht="12.75">
      <c r="A855" s="158">
        <f t="shared" si="44"/>
        <v>783</v>
      </c>
      <c r="B855" s="4"/>
      <c r="C855" s="79" t="s">
        <v>463</v>
      </c>
      <c r="D855" s="25"/>
      <c r="E855" s="46"/>
      <c r="F855" s="138"/>
      <c r="G855" s="138"/>
      <c r="H855" s="138"/>
      <c r="I855" s="203"/>
      <c r="J855" s="203">
        <f>H855/$H$1363</f>
        <v>0</v>
      </c>
    </row>
    <row r="856" spans="1:10" ht="12.75">
      <c r="A856" s="158">
        <f t="shared" si="44"/>
        <v>784</v>
      </c>
      <c r="B856" s="4"/>
      <c r="C856" s="79" t="s">
        <v>464</v>
      </c>
      <c r="D856" s="25"/>
      <c r="E856" s="46"/>
      <c r="F856" s="138">
        <f>104900+20250</f>
        <v>125150</v>
      </c>
      <c r="G856" s="138">
        <f>55000+20250</f>
        <v>75250</v>
      </c>
      <c r="H856" s="138">
        <v>60000</v>
      </c>
      <c r="I856" s="203">
        <f>H856/G856</f>
        <v>0.7973421926910299</v>
      </c>
      <c r="J856" s="203">
        <f>H856/$H$1363</f>
        <v>0.0013051832568655468</v>
      </c>
    </row>
    <row r="857" spans="1:10" ht="12.75">
      <c r="A857" s="158">
        <f t="shared" si="44"/>
        <v>785</v>
      </c>
      <c r="B857" s="4">
        <v>4440</v>
      </c>
      <c r="C857" s="79" t="s">
        <v>681</v>
      </c>
      <c r="D857" s="25"/>
      <c r="E857" s="46">
        <v>0</v>
      </c>
      <c r="F857" s="138"/>
      <c r="G857" s="138"/>
      <c r="H857" s="138"/>
      <c r="I857" s="203"/>
      <c r="J857" s="203"/>
    </row>
    <row r="858" spans="1:10" ht="12.75">
      <c r="A858" s="158">
        <f t="shared" si="44"/>
        <v>786</v>
      </c>
      <c r="B858" s="4"/>
      <c r="C858" s="79" t="s">
        <v>251</v>
      </c>
      <c r="D858" s="25"/>
      <c r="E858" s="46"/>
      <c r="F858" s="138">
        <f>SUM(F860:F863)</f>
        <v>39460</v>
      </c>
      <c r="G858" s="138">
        <f>SUM(G860:G863)</f>
        <v>39460</v>
      </c>
      <c r="H858" s="138">
        <f>SUM(H860:H863)</f>
        <v>45310</v>
      </c>
      <c r="I858" s="203">
        <f>H858/G858</f>
        <v>1.148251393816523</v>
      </c>
      <c r="J858" s="203">
        <f aca="true" t="shared" si="47" ref="J858:J864">H858/$H$1363</f>
        <v>0.0009856308894762987</v>
      </c>
    </row>
    <row r="859" spans="1:10" ht="12.75">
      <c r="A859" s="158">
        <f t="shared" si="44"/>
        <v>787</v>
      </c>
      <c r="B859" s="4"/>
      <c r="C859" s="79" t="s">
        <v>15</v>
      </c>
      <c r="D859" s="25"/>
      <c r="E859" s="46"/>
      <c r="F859" s="138"/>
      <c r="G859" s="138"/>
      <c r="H859" s="138"/>
      <c r="I859" s="203"/>
      <c r="J859" s="203">
        <f t="shared" si="47"/>
        <v>0</v>
      </c>
    </row>
    <row r="860" spans="1:10" ht="12.75">
      <c r="A860" s="158">
        <f t="shared" si="44"/>
        <v>788</v>
      </c>
      <c r="B860" s="4"/>
      <c r="C860" s="79" t="s">
        <v>147</v>
      </c>
      <c r="D860" s="25"/>
      <c r="E860" s="46"/>
      <c r="F860" s="138">
        <v>11970</v>
      </c>
      <c r="G860" s="138">
        <v>11970</v>
      </c>
      <c r="H860" s="138">
        <v>12310</v>
      </c>
      <c r="I860" s="203">
        <f>H860/G860</f>
        <v>1.028404344193818</v>
      </c>
      <c r="J860" s="203">
        <f t="shared" si="47"/>
        <v>0.000267780098200248</v>
      </c>
    </row>
    <row r="861" spans="1:10" ht="12.75">
      <c r="A861" s="158">
        <f t="shared" si="44"/>
        <v>789</v>
      </c>
      <c r="B861" s="4"/>
      <c r="C861" s="79" t="s">
        <v>148</v>
      </c>
      <c r="D861" s="25"/>
      <c r="E861" s="46"/>
      <c r="F861" s="138">
        <v>1990</v>
      </c>
      <c r="G861" s="138">
        <v>1990</v>
      </c>
      <c r="H861" s="138">
        <v>2500</v>
      </c>
      <c r="I861" s="203">
        <f>H861/G861</f>
        <v>1.256281407035176</v>
      </c>
      <c r="J861" s="203">
        <f t="shared" si="47"/>
        <v>5.438263570273111E-05</v>
      </c>
    </row>
    <row r="862" spans="1:10" ht="12.75">
      <c r="A862" s="158">
        <f t="shared" si="44"/>
        <v>790</v>
      </c>
      <c r="B862" s="4"/>
      <c r="C862" s="79" t="s">
        <v>47</v>
      </c>
      <c r="D862" s="25"/>
      <c r="E862" s="46"/>
      <c r="F862" s="138">
        <v>19500</v>
      </c>
      <c r="G862" s="138">
        <v>19500</v>
      </c>
      <c r="H862" s="138">
        <v>24500</v>
      </c>
      <c r="I862" s="203">
        <f>H862/G862</f>
        <v>1.2564102564102564</v>
      </c>
      <c r="J862" s="203">
        <f t="shared" si="47"/>
        <v>0.0005329498298867649</v>
      </c>
    </row>
    <row r="863" spans="1:10" ht="12.75">
      <c r="A863" s="158">
        <f t="shared" si="44"/>
        <v>791</v>
      </c>
      <c r="B863" s="4"/>
      <c r="C863" s="79" t="s">
        <v>185</v>
      </c>
      <c r="D863" s="25"/>
      <c r="E863" s="46"/>
      <c r="F863" s="138">
        <v>6000</v>
      </c>
      <c r="G863" s="138">
        <v>6000</v>
      </c>
      <c r="H863" s="138">
        <v>6000</v>
      </c>
      <c r="I863" s="203">
        <f>H863/G863</f>
        <v>1</v>
      </c>
      <c r="J863" s="203">
        <f t="shared" si="47"/>
        <v>0.00013051832568655467</v>
      </c>
    </row>
    <row r="864" spans="1:12" ht="12.75">
      <c r="A864" s="158">
        <f t="shared" si="44"/>
        <v>792</v>
      </c>
      <c r="B864" s="4">
        <v>6050</v>
      </c>
      <c r="C864" s="79" t="s">
        <v>133</v>
      </c>
      <c r="D864" s="25"/>
      <c r="E864" s="45">
        <f>SUM(E867:E867)</f>
        <v>90000</v>
      </c>
      <c r="F864" s="28">
        <f>SUM(F866:F896)</f>
        <v>1198478.75</v>
      </c>
      <c r="G864" s="28">
        <f>SUM(G866:G896)</f>
        <v>591120.06</v>
      </c>
      <c r="H864" s="28">
        <f>SUM(H866:H896)</f>
        <v>6015600</v>
      </c>
      <c r="I864" s="203">
        <f>H864/G864</f>
        <v>10.17661285255655</v>
      </c>
      <c r="J864" s="203">
        <f t="shared" si="47"/>
        <v>0.13085767333333972</v>
      </c>
      <c r="L864" s="27"/>
    </row>
    <row r="865" spans="1:10" ht="12.75">
      <c r="A865" s="158">
        <f t="shared" si="44"/>
        <v>793</v>
      </c>
      <c r="B865" s="4"/>
      <c r="C865" s="79" t="s">
        <v>15</v>
      </c>
      <c r="D865" s="25"/>
      <c r="E865" s="46"/>
      <c r="F865" s="138"/>
      <c r="G865" s="138"/>
      <c r="H865" s="138"/>
      <c r="I865" s="203"/>
      <c r="J865" s="203"/>
    </row>
    <row r="866" spans="1:10" ht="12.75">
      <c r="A866" s="158">
        <f t="shared" si="44"/>
        <v>794</v>
      </c>
      <c r="B866" s="4"/>
      <c r="C866" s="79" t="s">
        <v>465</v>
      </c>
      <c r="D866" s="25"/>
      <c r="E866" s="46"/>
      <c r="F866" s="138">
        <f>506133-108000</f>
        <v>398133</v>
      </c>
      <c r="G866" s="138">
        <f>391585.21+6100</f>
        <v>397685.21</v>
      </c>
      <c r="H866" s="138">
        <v>0</v>
      </c>
      <c r="I866" s="203">
        <f>H866/G866</f>
        <v>0</v>
      </c>
      <c r="J866" s="203">
        <f>H866/$H$1363</f>
        <v>0</v>
      </c>
    </row>
    <row r="867" spans="1:10" ht="12.75">
      <c r="A867" s="158">
        <f aca="true" t="shared" si="48" ref="A867:A935">A866+1</f>
        <v>795</v>
      </c>
      <c r="B867" s="4"/>
      <c r="C867" s="79" t="s">
        <v>466</v>
      </c>
      <c r="D867" s="25"/>
      <c r="E867" s="46">
        <v>90000</v>
      </c>
      <c r="F867" s="138">
        <v>61000</v>
      </c>
      <c r="G867" s="138">
        <v>61000</v>
      </c>
      <c r="H867" s="138">
        <v>0</v>
      </c>
      <c r="I867" s="203">
        <f>H867/G867</f>
        <v>0</v>
      </c>
      <c r="J867" s="203">
        <f>H867/$H$1363</f>
        <v>0</v>
      </c>
    </row>
    <row r="868" spans="1:10" ht="12.75">
      <c r="A868" s="158">
        <f t="shared" si="48"/>
        <v>796</v>
      </c>
      <c r="B868" s="4"/>
      <c r="C868" s="176" t="s">
        <v>632</v>
      </c>
      <c r="D868" s="25"/>
      <c r="E868" s="46"/>
      <c r="F868" s="138">
        <v>1905.75</v>
      </c>
      <c r="G868" s="138">
        <v>0</v>
      </c>
      <c r="H868" s="138">
        <v>550000</v>
      </c>
      <c r="I868" s="203"/>
      <c r="J868" s="203">
        <f>H868/$H$1363</f>
        <v>0.011964179854600845</v>
      </c>
    </row>
    <row r="869" spans="1:10" ht="12.75">
      <c r="A869" s="158">
        <f t="shared" si="48"/>
        <v>797</v>
      </c>
      <c r="B869" s="4"/>
      <c r="C869" s="106" t="s">
        <v>667</v>
      </c>
      <c r="D869" s="25"/>
      <c r="E869" s="46"/>
      <c r="F869" s="138"/>
      <c r="G869" s="138"/>
      <c r="H869" s="138"/>
      <c r="I869" s="203"/>
      <c r="J869" s="203"/>
    </row>
    <row r="870" spans="1:10" ht="12.75">
      <c r="A870" s="158">
        <f t="shared" si="48"/>
        <v>798</v>
      </c>
      <c r="B870" s="4"/>
      <c r="C870" s="79" t="s">
        <v>586</v>
      </c>
      <c r="D870" s="25"/>
      <c r="E870" s="46"/>
      <c r="F870" s="138"/>
      <c r="G870" s="138"/>
      <c r="H870" s="138"/>
      <c r="I870" s="203"/>
      <c r="J870" s="203"/>
    </row>
    <row r="871" spans="1:10" ht="12.75">
      <c r="A871" s="158">
        <f t="shared" si="48"/>
        <v>799</v>
      </c>
      <c r="B871" s="4"/>
      <c r="C871" s="79" t="s">
        <v>587</v>
      </c>
      <c r="D871" s="25"/>
      <c r="E871" s="46"/>
      <c r="F871" s="138"/>
      <c r="G871" s="138"/>
      <c r="H871" s="138"/>
      <c r="I871" s="203"/>
      <c r="J871" s="203"/>
    </row>
    <row r="872" spans="1:10" ht="12.75">
      <c r="A872" s="158">
        <f t="shared" si="48"/>
        <v>800</v>
      </c>
      <c r="B872" s="4"/>
      <c r="C872" s="79" t="s">
        <v>588</v>
      </c>
      <c r="D872" s="25"/>
      <c r="E872" s="46"/>
      <c r="F872" s="138"/>
      <c r="G872" s="138"/>
      <c r="H872" s="138"/>
      <c r="I872" s="203"/>
      <c r="J872" s="203"/>
    </row>
    <row r="873" spans="1:10" ht="12.75">
      <c r="A873" s="158">
        <f t="shared" si="48"/>
        <v>801</v>
      </c>
      <c r="B873" s="4"/>
      <c r="C873" s="79" t="s">
        <v>589</v>
      </c>
      <c r="D873" s="25"/>
      <c r="E873" s="46"/>
      <c r="F873" s="138"/>
      <c r="G873" s="138"/>
      <c r="H873" s="138"/>
      <c r="I873" s="203"/>
      <c r="J873" s="203"/>
    </row>
    <row r="874" spans="1:10" ht="12.75">
      <c r="A874" s="158">
        <f t="shared" si="48"/>
        <v>802</v>
      </c>
      <c r="B874" s="4"/>
      <c r="C874" s="79" t="s">
        <v>590</v>
      </c>
      <c r="D874" s="25"/>
      <c r="E874" s="46"/>
      <c r="F874" s="138"/>
      <c r="G874" s="138"/>
      <c r="H874" s="138"/>
      <c r="I874" s="203"/>
      <c r="J874" s="203"/>
    </row>
    <row r="875" spans="1:10" ht="12.75">
      <c r="A875" s="158">
        <f t="shared" si="48"/>
        <v>803</v>
      </c>
      <c r="B875" s="4"/>
      <c r="C875" s="79" t="s">
        <v>668</v>
      </c>
      <c r="D875" s="25"/>
      <c r="E875" s="46"/>
      <c r="F875" s="138">
        <v>340000</v>
      </c>
      <c r="G875" s="138">
        <v>0</v>
      </c>
      <c r="H875" s="138">
        <v>2799600</v>
      </c>
      <c r="I875" s="203"/>
      <c r="J875" s="203">
        <f>H875/$H$1363</f>
        <v>0.06089985076534641</v>
      </c>
    </row>
    <row r="876" spans="1:10" ht="12.75">
      <c r="A876" s="158">
        <f t="shared" si="48"/>
        <v>804</v>
      </c>
      <c r="B876" s="4"/>
      <c r="C876" s="79" t="s">
        <v>361</v>
      </c>
      <c r="D876" s="25"/>
      <c r="E876" s="46"/>
      <c r="F876" s="138">
        <v>50000</v>
      </c>
      <c r="G876" s="138">
        <v>0</v>
      </c>
      <c r="H876" s="138">
        <v>50000</v>
      </c>
      <c r="I876" s="203"/>
      <c r="J876" s="203">
        <f>H876/$H$1363</f>
        <v>0.0010876527140546222</v>
      </c>
    </row>
    <row r="877" spans="1:10" ht="12.75">
      <c r="A877" s="158">
        <f t="shared" si="48"/>
        <v>805</v>
      </c>
      <c r="B877" s="4"/>
      <c r="C877" s="79" t="s">
        <v>575</v>
      </c>
      <c r="D877" s="25"/>
      <c r="E877" s="46"/>
      <c r="F877" s="138"/>
      <c r="G877" s="138"/>
      <c r="H877" s="138"/>
      <c r="I877" s="203"/>
      <c r="J877" s="203"/>
    </row>
    <row r="878" spans="1:10" ht="12.75">
      <c r="A878" s="158">
        <f t="shared" si="48"/>
        <v>806</v>
      </c>
      <c r="B878" s="4"/>
      <c r="C878" s="79" t="s">
        <v>591</v>
      </c>
      <c r="D878" s="25"/>
      <c r="E878" s="46"/>
      <c r="F878" s="138">
        <v>80000</v>
      </c>
      <c r="G878" s="138">
        <v>0</v>
      </c>
      <c r="H878" s="138">
        <v>80000</v>
      </c>
      <c r="I878" s="203"/>
      <c r="J878" s="203">
        <f>H878/$H$1363</f>
        <v>0.0017402443424873956</v>
      </c>
    </row>
    <row r="879" spans="1:10" ht="12.75">
      <c r="A879" s="158">
        <f t="shared" si="48"/>
        <v>807</v>
      </c>
      <c r="B879" s="4"/>
      <c r="C879" s="79" t="s">
        <v>575</v>
      </c>
      <c r="D879" s="25"/>
      <c r="E879" s="46"/>
      <c r="F879" s="138"/>
      <c r="G879" s="138"/>
      <c r="H879" s="138"/>
      <c r="I879" s="203"/>
      <c r="J879" s="203"/>
    </row>
    <row r="880" spans="1:10" ht="12.75">
      <c r="A880" s="158">
        <f t="shared" si="48"/>
        <v>808</v>
      </c>
      <c r="B880" s="4"/>
      <c r="C880" s="79" t="s">
        <v>592</v>
      </c>
      <c r="D880" s="25"/>
      <c r="E880" s="46"/>
      <c r="F880" s="138"/>
      <c r="G880" s="138"/>
      <c r="H880" s="138"/>
      <c r="I880" s="203"/>
      <c r="J880" s="203"/>
    </row>
    <row r="881" spans="1:10" ht="12.75">
      <c r="A881" s="158">
        <f t="shared" si="48"/>
        <v>809</v>
      </c>
      <c r="B881" s="4"/>
      <c r="C881" s="79" t="s">
        <v>593</v>
      </c>
      <c r="D881" s="25"/>
      <c r="E881" s="46"/>
      <c r="F881" s="138"/>
      <c r="G881" s="138"/>
      <c r="H881" s="138"/>
      <c r="I881" s="203"/>
      <c r="J881" s="203"/>
    </row>
    <row r="882" spans="1:10" ht="12.75">
      <c r="A882" s="158">
        <f t="shared" si="48"/>
        <v>810</v>
      </c>
      <c r="B882" s="4"/>
      <c r="C882" s="79" t="s">
        <v>594</v>
      </c>
      <c r="D882" s="25"/>
      <c r="E882" s="46"/>
      <c r="F882" s="138"/>
      <c r="G882" s="138"/>
      <c r="H882" s="138"/>
      <c r="I882" s="203"/>
      <c r="J882" s="203"/>
    </row>
    <row r="883" spans="1:10" ht="12.75">
      <c r="A883" s="158">
        <f t="shared" si="48"/>
        <v>811</v>
      </c>
      <c r="B883" s="4"/>
      <c r="C883" s="79" t="s">
        <v>595</v>
      </c>
      <c r="D883" s="25"/>
      <c r="E883" s="46"/>
      <c r="F883" s="138">
        <v>60000</v>
      </c>
      <c r="G883" s="138">
        <v>0</v>
      </c>
      <c r="H883" s="138">
        <v>435000</v>
      </c>
      <c r="I883" s="203"/>
      <c r="J883" s="203">
        <f>H883/$H$1363</f>
        <v>0.009462578612275214</v>
      </c>
    </row>
    <row r="884" spans="1:10" ht="12.75">
      <c r="A884" s="158">
        <f t="shared" si="48"/>
        <v>812</v>
      </c>
      <c r="B884" s="4"/>
      <c r="C884" s="79" t="s">
        <v>353</v>
      </c>
      <c r="D884" s="25"/>
      <c r="E884" s="46"/>
      <c r="F884" s="138">
        <v>132440</v>
      </c>
      <c r="G884" s="138">
        <f>18.01+130525.84+1891</f>
        <v>132434.84999999998</v>
      </c>
      <c r="H884" s="138">
        <v>0</v>
      </c>
      <c r="I884" s="203">
        <f>H884/G884</f>
        <v>0</v>
      </c>
      <c r="J884" s="203">
        <f>H884/$H$1363</f>
        <v>0</v>
      </c>
    </row>
    <row r="885" spans="1:10" ht="12.75">
      <c r="A885" s="158">
        <f t="shared" si="48"/>
        <v>813</v>
      </c>
      <c r="B885" s="4"/>
      <c r="C885" s="79" t="s">
        <v>639</v>
      </c>
      <c r="D885" s="25"/>
      <c r="E885" s="46"/>
      <c r="F885" s="138"/>
      <c r="G885" s="138"/>
      <c r="H885" s="138"/>
      <c r="I885" s="203"/>
      <c r="J885" s="203"/>
    </row>
    <row r="886" spans="1:10" ht="12.75">
      <c r="A886" s="158">
        <f t="shared" si="48"/>
        <v>814</v>
      </c>
      <c r="B886" s="4"/>
      <c r="C886" s="79" t="s">
        <v>640</v>
      </c>
      <c r="D886" s="25"/>
      <c r="E886" s="46"/>
      <c r="F886" s="138"/>
      <c r="G886" s="138"/>
      <c r="H886" s="138"/>
      <c r="I886" s="203"/>
      <c r="J886" s="203"/>
    </row>
    <row r="887" spans="1:10" ht="12.75">
      <c r="A887" s="158">
        <f t="shared" si="48"/>
        <v>815</v>
      </c>
      <c r="B887" s="4"/>
      <c r="C887" s="79" t="s">
        <v>641</v>
      </c>
      <c r="D887" s="25"/>
      <c r="E887" s="46"/>
      <c r="F887" s="138">
        <v>0</v>
      </c>
      <c r="G887" s="138">
        <v>0</v>
      </c>
      <c r="H887" s="138">
        <v>210000</v>
      </c>
      <c r="I887" s="203"/>
      <c r="J887" s="203"/>
    </row>
    <row r="888" spans="1:10" ht="12.75">
      <c r="A888" s="158">
        <f t="shared" si="48"/>
        <v>816</v>
      </c>
      <c r="B888" s="4"/>
      <c r="C888" s="79" t="s">
        <v>354</v>
      </c>
      <c r="D888" s="25"/>
      <c r="E888" s="46"/>
      <c r="F888" s="138"/>
      <c r="G888" s="138"/>
      <c r="H888" s="138"/>
      <c r="I888" s="203"/>
      <c r="J888" s="203">
        <f>H888/$H$1363</f>
        <v>0</v>
      </c>
    </row>
    <row r="889" spans="1:10" ht="12.75">
      <c r="A889" s="158">
        <f t="shared" si="48"/>
        <v>817</v>
      </c>
      <c r="B889" s="4"/>
      <c r="C889" s="79" t="s">
        <v>635</v>
      </c>
      <c r="D889" s="25"/>
      <c r="E889" s="46"/>
      <c r="F889" s="138">
        <f>409000-409000</f>
        <v>0</v>
      </c>
      <c r="G889" s="138">
        <v>0</v>
      </c>
      <c r="H889" s="138">
        <v>302000</v>
      </c>
      <c r="I889" s="203"/>
      <c r="J889" s="203">
        <f>H889/$H$1363</f>
        <v>0.006569422392889919</v>
      </c>
    </row>
    <row r="890" spans="1:10" ht="12.75">
      <c r="A890" s="158">
        <f t="shared" si="48"/>
        <v>818</v>
      </c>
      <c r="B890" s="4"/>
      <c r="C890" s="79" t="s">
        <v>355</v>
      </c>
      <c r="D890" s="25"/>
      <c r="E890" s="46"/>
      <c r="F890" s="138"/>
      <c r="G890" s="138"/>
      <c r="H890" s="138"/>
      <c r="I890" s="203"/>
      <c r="J890" s="203"/>
    </row>
    <row r="891" spans="1:10" ht="12.75">
      <c r="A891" s="158">
        <f t="shared" si="48"/>
        <v>819</v>
      </c>
      <c r="B891" s="4"/>
      <c r="C891" s="79" t="s">
        <v>636</v>
      </c>
      <c r="D891" s="25"/>
      <c r="E891" s="46"/>
      <c r="F891" s="147">
        <v>0</v>
      </c>
      <c r="G891" s="194">
        <v>0</v>
      </c>
      <c r="H891" s="28">
        <v>154000</v>
      </c>
      <c r="I891" s="203"/>
      <c r="J891" s="203">
        <f aca="true" t="shared" si="49" ref="J891:J896">H891/$H$1363</f>
        <v>0.0033499703592882366</v>
      </c>
    </row>
    <row r="892" spans="1:10" ht="12.75">
      <c r="A892" s="158">
        <f t="shared" si="48"/>
        <v>820</v>
      </c>
      <c r="B892" s="4"/>
      <c r="C892" s="79" t="s">
        <v>575</v>
      </c>
      <c r="D892" s="25"/>
      <c r="E892" s="46"/>
      <c r="F892" s="147"/>
      <c r="G892" s="194"/>
      <c r="H892" s="28"/>
      <c r="I892" s="203"/>
      <c r="J892" s="203"/>
    </row>
    <row r="893" spans="1:10" ht="12.75">
      <c r="A893" s="158">
        <f t="shared" si="48"/>
        <v>821</v>
      </c>
      <c r="B893" s="4"/>
      <c r="C893" s="79" t="s">
        <v>633</v>
      </c>
      <c r="D893" s="25"/>
      <c r="E893" s="46"/>
      <c r="G893" s="194"/>
      <c r="H893" s="28"/>
      <c r="I893" s="203"/>
      <c r="J893" s="203"/>
    </row>
    <row r="894" spans="1:10" ht="12.75">
      <c r="A894" s="158">
        <f t="shared" si="48"/>
        <v>822</v>
      </c>
      <c r="B894" s="4"/>
      <c r="C894" s="79" t="s">
        <v>634</v>
      </c>
      <c r="D894" s="25"/>
      <c r="E894" s="46"/>
      <c r="F894" s="138">
        <v>75000</v>
      </c>
      <c r="G894" s="138">
        <v>0</v>
      </c>
      <c r="H894" s="138">
        <v>1275000</v>
      </c>
      <c r="I894" s="203"/>
      <c r="J894" s="203">
        <f t="shared" si="49"/>
        <v>0.02773514420839287</v>
      </c>
    </row>
    <row r="895" spans="1:10" ht="12.75">
      <c r="A895" s="158">
        <f t="shared" si="48"/>
        <v>823</v>
      </c>
      <c r="B895" s="4"/>
      <c r="C895" s="79" t="s">
        <v>637</v>
      </c>
      <c r="D895" s="25"/>
      <c r="E895" s="46"/>
      <c r="F895" s="138"/>
      <c r="G895" s="138"/>
      <c r="H895" s="138"/>
      <c r="I895" s="203"/>
      <c r="J895" s="203"/>
    </row>
    <row r="896" spans="1:10" ht="12.75">
      <c r="A896" s="158">
        <f t="shared" si="48"/>
        <v>824</v>
      </c>
      <c r="B896" s="4"/>
      <c r="C896" s="79" t="s">
        <v>638</v>
      </c>
      <c r="D896" s="25"/>
      <c r="E896" s="46"/>
      <c r="F896" s="138">
        <v>0</v>
      </c>
      <c r="G896" s="138">
        <v>0</v>
      </c>
      <c r="H896" s="138">
        <v>160000</v>
      </c>
      <c r="I896" s="203"/>
      <c r="J896" s="203">
        <f t="shared" si="49"/>
        <v>0.003480488684974791</v>
      </c>
    </row>
    <row r="897" spans="1:10" ht="12.75">
      <c r="A897" s="158"/>
      <c r="B897" s="4"/>
      <c r="C897" s="79"/>
      <c r="D897" s="25"/>
      <c r="E897" s="46"/>
      <c r="F897" s="138"/>
      <c r="G897" s="138"/>
      <c r="H897" s="138"/>
      <c r="I897" s="203"/>
      <c r="J897" s="203"/>
    </row>
    <row r="898" spans="1:10" ht="12.75">
      <c r="A898" s="158"/>
      <c r="B898" s="4"/>
      <c r="C898" s="79"/>
      <c r="D898" s="25"/>
      <c r="E898" s="46"/>
      <c r="F898" s="138"/>
      <c r="G898" s="138"/>
      <c r="H898" s="138"/>
      <c r="I898" s="203"/>
      <c r="J898" s="203"/>
    </row>
    <row r="899" spans="1:10" ht="12.75">
      <c r="A899" s="158"/>
      <c r="B899" s="4"/>
      <c r="C899" s="79"/>
      <c r="D899" s="25"/>
      <c r="E899" s="46"/>
      <c r="F899" s="138"/>
      <c r="G899" s="138"/>
      <c r="H899" s="138"/>
      <c r="I899" s="203"/>
      <c r="J899" s="203"/>
    </row>
    <row r="900" spans="1:10" s="70" customFormat="1" ht="12.75">
      <c r="A900" s="158">
        <f>A896+1</f>
        <v>825</v>
      </c>
      <c r="B900" s="56">
        <v>851</v>
      </c>
      <c r="C900" s="78" t="s">
        <v>9</v>
      </c>
      <c r="D900" s="58"/>
      <c r="E900" s="59" t="e">
        <f>#REF!+E904</f>
        <v>#REF!</v>
      </c>
      <c r="F900" s="58">
        <f>F901+F904+F923</f>
        <v>324500</v>
      </c>
      <c r="G900" s="58">
        <f>G901+G904+G923</f>
        <v>274500</v>
      </c>
      <c r="H900" s="58">
        <f>H901+H904+H923</f>
        <v>370000</v>
      </c>
      <c r="I900" s="203">
        <f aca="true" t="shared" si="50" ref="I900:I905">H900/G900</f>
        <v>1.3479052823315119</v>
      </c>
      <c r="J900" s="203">
        <f aca="true" t="shared" si="51" ref="J900:J905">H900/$H$1363</f>
        <v>0.008048630084004204</v>
      </c>
    </row>
    <row r="901" spans="1:10" s="73" customFormat="1" ht="12.75">
      <c r="A901" s="158">
        <f t="shared" si="48"/>
        <v>826</v>
      </c>
      <c r="B901" s="62">
        <v>85153</v>
      </c>
      <c r="C901" s="68" t="s">
        <v>282</v>
      </c>
      <c r="D901" s="63"/>
      <c r="E901" s="64"/>
      <c r="F901" s="63">
        <f>SUM(F902:F903)</f>
        <v>20000</v>
      </c>
      <c r="G901" s="63">
        <f>SUM(G902:G903)</f>
        <v>20000</v>
      </c>
      <c r="H901" s="63">
        <f>SUM(H902:H903)</f>
        <v>25000</v>
      </c>
      <c r="I901" s="203">
        <f t="shared" si="50"/>
        <v>1.25</v>
      </c>
      <c r="J901" s="203">
        <f t="shared" si="51"/>
        <v>0.0005438263570273111</v>
      </c>
    </row>
    <row r="902" spans="1:10" s="70" customFormat="1" ht="12.75">
      <c r="A902" s="158">
        <f t="shared" si="48"/>
        <v>827</v>
      </c>
      <c r="B902" s="14">
        <v>4210</v>
      </c>
      <c r="C902" s="119" t="s">
        <v>136</v>
      </c>
      <c r="D902" s="58"/>
      <c r="E902" s="59"/>
      <c r="F902" s="144">
        <v>10000</v>
      </c>
      <c r="G902" s="144">
        <v>10000</v>
      </c>
      <c r="H902" s="144">
        <v>10000</v>
      </c>
      <c r="I902" s="203">
        <f t="shared" si="50"/>
        <v>1</v>
      </c>
      <c r="J902" s="203">
        <f t="shared" si="51"/>
        <v>0.00021753054281092445</v>
      </c>
    </row>
    <row r="903" spans="1:10" s="70" customFormat="1" ht="12.75">
      <c r="A903" s="158">
        <f t="shared" si="48"/>
        <v>828</v>
      </c>
      <c r="B903" s="14">
        <v>4300</v>
      </c>
      <c r="C903" s="119" t="s">
        <v>134</v>
      </c>
      <c r="D903" s="58"/>
      <c r="E903" s="59"/>
      <c r="F903" s="144">
        <v>10000</v>
      </c>
      <c r="G903" s="144">
        <v>10000</v>
      </c>
      <c r="H903" s="144">
        <v>15000</v>
      </c>
      <c r="I903" s="203">
        <f t="shared" si="50"/>
        <v>1.5</v>
      </c>
      <c r="J903" s="203">
        <f t="shared" si="51"/>
        <v>0.0003262958142163867</v>
      </c>
    </row>
    <row r="904" spans="1:10" s="73" customFormat="1" ht="15" customHeight="1">
      <c r="A904" s="158">
        <f t="shared" si="48"/>
        <v>829</v>
      </c>
      <c r="B904" s="62">
        <v>85154</v>
      </c>
      <c r="C904" s="68" t="s">
        <v>49</v>
      </c>
      <c r="D904" s="63"/>
      <c r="E904" s="64" t="e">
        <f>#REF!+#REF!+#REF!+#REF!+E909+E910+E912+#REF!+#REF!+E925</f>
        <v>#REF!</v>
      </c>
      <c r="F904" s="63">
        <f>F905+F909+F910+F911+F912+F914+F916+F917+F919+F920</f>
        <v>220000</v>
      </c>
      <c r="G904" s="63">
        <f>G905+G909+G910+G911+G912+G914+G916+G917+G919+G920</f>
        <v>170000</v>
      </c>
      <c r="H904" s="63">
        <f>H905+H909+H910+H911+H912+H914+H916+H917+H919+H920</f>
        <v>250000</v>
      </c>
      <c r="I904" s="203">
        <f t="shared" si="50"/>
        <v>1.4705882352941178</v>
      </c>
      <c r="J904" s="203">
        <f t="shared" si="51"/>
        <v>0.005438263570273111</v>
      </c>
    </row>
    <row r="905" spans="1:10" ht="12.75">
      <c r="A905" s="158">
        <f t="shared" si="48"/>
        <v>830</v>
      </c>
      <c r="B905" s="6">
        <v>4170</v>
      </c>
      <c r="C905" s="79" t="s">
        <v>231</v>
      </c>
      <c r="D905" s="25"/>
      <c r="E905" s="46"/>
      <c r="F905" s="144">
        <f>SUM(F907:F908)</f>
        <v>52000</v>
      </c>
      <c r="G905" s="144">
        <f>SUM(G907:G908)</f>
        <v>52000</v>
      </c>
      <c r="H905" s="144">
        <f>SUM(H907:H908)</f>
        <v>60000</v>
      </c>
      <c r="I905" s="203">
        <f t="shared" si="50"/>
        <v>1.1538461538461537</v>
      </c>
      <c r="J905" s="203">
        <f t="shared" si="51"/>
        <v>0.0013051832568655468</v>
      </c>
    </row>
    <row r="906" spans="1:10" ht="12.75">
      <c r="A906" s="158">
        <f t="shared" si="48"/>
        <v>831</v>
      </c>
      <c r="B906" s="6"/>
      <c r="C906" s="79" t="s">
        <v>15</v>
      </c>
      <c r="D906" s="25"/>
      <c r="E906" s="46"/>
      <c r="F906" s="144"/>
      <c r="G906" s="144"/>
      <c r="H906" s="144"/>
      <c r="I906" s="203"/>
      <c r="J906" s="203"/>
    </row>
    <row r="907" spans="1:10" ht="12.75">
      <c r="A907" s="158">
        <f t="shared" si="48"/>
        <v>832</v>
      </c>
      <c r="B907" s="6"/>
      <c r="C907" s="79" t="s">
        <v>252</v>
      </c>
      <c r="D907" s="25"/>
      <c r="E907" s="46"/>
      <c r="F907" s="144">
        <v>15000</v>
      </c>
      <c r="G907" s="144">
        <v>15000</v>
      </c>
      <c r="H907" s="144">
        <v>15000</v>
      </c>
      <c r="I907" s="203">
        <f>H907/G907</f>
        <v>1</v>
      </c>
      <c r="J907" s="203">
        <f aca="true" t="shared" si="52" ref="J907:J971">H907/$H$1363</f>
        <v>0.0003262958142163867</v>
      </c>
    </row>
    <row r="908" spans="1:10" ht="12.75">
      <c r="A908" s="158">
        <f t="shared" si="48"/>
        <v>833</v>
      </c>
      <c r="B908" s="6"/>
      <c r="C908" s="79" t="s">
        <v>253</v>
      </c>
      <c r="D908" s="25"/>
      <c r="E908" s="46"/>
      <c r="F908" s="144">
        <v>37000</v>
      </c>
      <c r="G908" s="144">
        <v>37000</v>
      </c>
      <c r="H908" s="144">
        <v>45000</v>
      </c>
      <c r="I908" s="203">
        <f>H908/G908</f>
        <v>1.2162162162162162</v>
      </c>
      <c r="J908" s="203">
        <f t="shared" si="52"/>
        <v>0.00097888744264916</v>
      </c>
    </row>
    <row r="909" spans="1:10" s="32" customFormat="1" ht="12.75">
      <c r="A909" s="158">
        <f t="shared" si="48"/>
        <v>834</v>
      </c>
      <c r="B909" s="14">
        <v>4210</v>
      </c>
      <c r="C909" s="119" t="s">
        <v>136</v>
      </c>
      <c r="D909" s="25"/>
      <c r="E909" s="46">
        <v>5000</v>
      </c>
      <c r="F909" s="144">
        <v>14000</v>
      </c>
      <c r="G909" s="144">
        <v>14000</v>
      </c>
      <c r="H909" s="144">
        <v>29800</v>
      </c>
      <c r="I909" s="203">
        <f>H909/G909</f>
        <v>2.1285714285714286</v>
      </c>
      <c r="J909" s="203">
        <f t="shared" si="52"/>
        <v>0.0006482410175765548</v>
      </c>
    </row>
    <row r="910" spans="1:10" s="32" customFormat="1" ht="12.75">
      <c r="A910" s="158">
        <f t="shared" si="48"/>
        <v>835</v>
      </c>
      <c r="B910" s="14">
        <v>4260</v>
      </c>
      <c r="C910" s="119" t="s">
        <v>138</v>
      </c>
      <c r="D910" s="25"/>
      <c r="E910" s="46">
        <v>3000</v>
      </c>
      <c r="F910" s="144">
        <v>13000</v>
      </c>
      <c r="G910" s="144">
        <v>13000</v>
      </c>
      <c r="H910" s="144">
        <v>7000</v>
      </c>
      <c r="I910" s="203">
        <f>H910/G910</f>
        <v>0.5384615384615384</v>
      </c>
      <c r="J910" s="203">
        <f t="shared" si="52"/>
        <v>0.00015227137996764713</v>
      </c>
    </row>
    <row r="911" spans="1:10" s="32" customFormat="1" ht="12.75">
      <c r="A911" s="158">
        <f t="shared" si="48"/>
        <v>836</v>
      </c>
      <c r="B911" s="14">
        <v>4270</v>
      </c>
      <c r="C911" s="119" t="s">
        <v>135</v>
      </c>
      <c r="D911" s="25"/>
      <c r="E911" s="46"/>
      <c r="F911" s="144">
        <v>0</v>
      </c>
      <c r="G911" s="144">
        <v>0</v>
      </c>
      <c r="H911" s="144">
        <v>0</v>
      </c>
      <c r="I911" s="203"/>
      <c r="J911" s="203">
        <f t="shared" si="52"/>
        <v>0</v>
      </c>
    </row>
    <row r="912" spans="1:10" s="32" customFormat="1" ht="12.75">
      <c r="A912" s="158">
        <f t="shared" si="48"/>
        <v>837</v>
      </c>
      <c r="B912" s="14">
        <v>4300</v>
      </c>
      <c r="C912" s="119" t="s">
        <v>134</v>
      </c>
      <c r="D912" s="25"/>
      <c r="E912" s="45" t="e">
        <f>SUM(#REF!)</f>
        <v>#REF!</v>
      </c>
      <c r="F912" s="138">
        <v>68000</v>
      </c>
      <c r="G912" s="138">
        <v>68000</v>
      </c>
      <c r="H912" s="138">
        <v>124600</v>
      </c>
      <c r="I912" s="203">
        <f>H912/G912</f>
        <v>1.8323529411764705</v>
      </c>
      <c r="J912" s="203">
        <f t="shared" si="52"/>
        <v>0.0027104305634241188</v>
      </c>
    </row>
    <row r="913" spans="1:10" ht="12.75">
      <c r="A913" s="158">
        <f t="shared" si="48"/>
        <v>838</v>
      </c>
      <c r="B913" s="15">
        <v>4370</v>
      </c>
      <c r="C913" s="120" t="s">
        <v>320</v>
      </c>
      <c r="D913" s="25"/>
      <c r="E913" s="46"/>
      <c r="F913" s="144"/>
      <c r="G913" s="144"/>
      <c r="H913" s="144"/>
      <c r="I913" s="203"/>
      <c r="J913" s="203"/>
    </row>
    <row r="914" spans="1:10" ht="12.75">
      <c r="A914" s="158">
        <f t="shared" si="48"/>
        <v>839</v>
      </c>
      <c r="B914" s="15"/>
      <c r="C914" s="120" t="s">
        <v>304</v>
      </c>
      <c r="D914" s="25"/>
      <c r="E914" s="46"/>
      <c r="F914" s="144">
        <v>3000</v>
      </c>
      <c r="G914" s="144">
        <v>3000</v>
      </c>
      <c r="H914" s="144">
        <v>2400</v>
      </c>
      <c r="I914" s="203">
        <f>H914/G914</f>
        <v>0.8</v>
      </c>
      <c r="J914" s="203">
        <f t="shared" si="52"/>
        <v>5.220733027462187E-05</v>
      </c>
    </row>
    <row r="915" spans="1:10" ht="12.75">
      <c r="A915" s="158">
        <f t="shared" si="48"/>
        <v>840</v>
      </c>
      <c r="B915" s="15">
        <v>4400</v>
      </c>
      <c r="C915" s="120" t="s">
        <v>438</v>
      </c>
      <c r="D915" s="25"/>
      <c r="E915" s="46"/>
      <c r="F915" s="144"/>
      <c r="G915" s="144"/>
      <c r="H915" s="144"/>
      <c r="I915" s="203"/>
      <c r="J915" s="203"/>
    </row>
    <row r="916" spans="1:10" ht="12.75">
      <c r="A916" s="158">
        <f t="shared" si="48"/>
        <v>841</v>
      </c>
      <c r="B916" s="15"/>
      <c r="C916" s="120" t="s">
        <v>437</v>
      </c>
      <c r="D916" s="25"/>
      <c r="E916" s="46"/>
      <c r="F916" s="144">
        <v>20000</v>
      </c>
      <c r="G916" s="144">
        <v>20000</v>
      </c>
      <c r="H916" s="144">
        <v>25000</v>
      </c>
      <c r="I916" s="203">
        <f>H916/G916</f>
        <v>1.25</v>
      </c>
      <c r="J916" s="203">
        <f t="shared" si="52"/>
        <v>0.0005438263570273111</v>
      </c>
    </row>
    <row r="917" spans="1:10" ht="12.75">
      <c r="A917" s="158">
        <f t="shared" si="48"/>
        <v>842</v>
      </c>
      <c r="B917" s="15">
        <v>4430</v>
      </c>
      <c r="C917" s="120" t="s">
        <v>40</v>
      </c>
      <c r="D917" s="25"/>
      <c r="E917" s="46"/>
      <c r="F917" s="144">
        <v>0</v>
      </c>
      <c r="G917" s="144">
        <v>0</v>
      </c>
      <c r="H917" s="144">
        <v>1000</v>
      </c>
      <c r="I917" s="203"/>
      <c r="J917" s="203">
        <f t="shared" si="52"/>
        <v>2.1753054281092445E-05</v>
      </c>
    </row>
    <row r="918" spans="1:10" ht="12.75">
      <c r="A918" s="158">
        <f t="shared" si="48"/>
        <v>843</v>
      </c>
      <c r="B918" s="15">
        <v>4740</v>
      </c>
      <c r="C918" s="120" t="s">
        <v>309</v>
      </c>
      <c r="D918" s="25"/>
      <c r="E918" s="46"/>
      <c r="F918" s="144"/>
      <c r="G918" s="144"/>
      <c r="H918" s="144"/>
      <c r="I918" s="203"/>
      <c r="J918" s="203"/>
    </row>
    <row r="919" spans="1:10" ht="12.75">
      <c r="A919" s="158">
        <f t="shared" si="48"/>
        <v>844</v>
      </c>
      <c r="B919" s="15"/>
      <c r="C919" s="120" t="s">
        <v>310</v>
      </c>
      <c r="D919" s="25"/>
      <c r="E919" s="46"/>
      <c r="F919" s="144">
        <v>0</v>
      </c>
      <c r="G919" s="144">
        <v>0</v>
      </c>
      <c r="H919" s="144">
        <v>200</v>
      </c>
      <c r="I919" s="203"/>
      <c r="J919" s="203">
        <f t="shared" si="52"/>
        <v>4.350610856218489E-06</v>
      </c>
    </row>
    <row r="920" spans="1:10" ht="12.75">
      <c r="A920" s="158">
        <f t="shared" si="48"/>
        <v>845</v>
      </c>
      <c r="B920" s="6">
        <v>6050</v>
      </c>
      <c r="C920" s="79" t="s">
        <v>133</v>
      </c>
      <c r="D920" s="25"/>
      <c r="E920" s="46"/>
      <c r="F920" s="138">
        <f>F922</f>
        <v>50000</v>
      </c>
      <c r="G920" s="138">
        <f>G922</f>
        <v>0</v>
      </c>
      <c r="H920" s="138">
        <f>H922</f>
        <v>0</v>
      </c>
      <c r="I920" s="203"/>
      <c r="J920" s="203">
        <f t="shared" si="52"/>
        <v>0</v>
      </c>
    </row>
    <row r="921" spans="1:10" ht="12.75">
      <c r="A921" s="158">
        <f t="shared" si="48"/>
        <v>846</v>
      </c>
      <c r="B921" s="6"/>
      <c r="C921" s="79" t="s">
        <v>15</v>
      </c>
      <c r="D921" s="25"/>
      <c r="E921" s="46"/>
      <c r="F921" s="138"/>
      <c r="G921" s="138"/>
      <c r="H921" s="138"/>
      <c r="I921" s="203"/>
      <c r="J921" s="203"/>
    </row>
    <row r="922" spans="1:10" ht="12.75">
      <c r="A922" s="158">
        <f t="shared" si="48"/>
        <v>847</v>
      </c>
      <c r="B922" s="6"/>
      <c r="C922" s="106" t="s">
        <v>395</v>
      </c>
      <c r="D922" s="25"/>
      <c r="E922" s="46"/>
      <c r="F922" s="138">
        <v>50000</v>
      </c>
      <c r="G922" s="138">
        <v>0</v>
      </c>
      <c r="H922" s="138">
        <v>0</v>
      </c>
      <c r="I922" s="203"/>
      <c r="J922" s="203">
        <f t="shared" si="52"/>
        <v>0</v>
      </c>
    </row>
    <row r="923" spans="1:10" ht="12.75">
      <c r="A923" s="158">
        <f t="shared" si="48"/>
        <v>848</v>
      </c>
      <c r="B923" s="197">
        <v>85195</v>
      </c>
      <c r="C923" s="179" t="s">
        <v>25</v>
      </c>
      <c r="D923" s="25"/>
      <c r="E923" s="46"/>
      <c r="F923" s="162">
        <f>SUM(F926:F930)</f>
        <v>84500</v>
      </c>
      <c r="G923" s="162">
        <f>SUM(G926:G930)</f>
        <v>84500</v>
      </c>
      <c r="H923" s="162">
        <f>SUM(H926:H930)</f>
        <v>95000</v>
      </c>
      <c r="I923" s="203">
        <f>H923/G923</f>
        <v>1.1242603550295858</v>
      </c>
      <c r="J923" s="203">
        <f t="shared" si="52"/>
        <v>0.0020665401567037823</v>
      </c>
    </row>
    <row r="924" spans="1:10" ht="12.75">
      <c r="A924" s="158">
        <f t="shared" si="48"/>
        <v>849</v>
      </c>
      <c r="B924" s="85">
        <v>2820</v>
      </c>
      <c r="C924" s="79" t="s">
        <v>211</v>
      </c>
      <c r="D924" s="25"/>
      <c r="E924" s="46"/>
      <c r="F924" s="138"/>
      <c r="G924" s="138"/>
      <c r="H924" s="138"/>
      <c r="I924" s="203"/>
      <c r="J924" s="203"/>
    </row>
    <row r="925" spans="1:10" ht="12.75">
      <c r="A925" s="158">
        <f t="shared" si="48"/>
        <v>850</v>
      </c>
      <c r="B925" s="85"/>
      <c r="C925" s="79" t="s">
        <v>212</v>
      </c>
      <c r="D925" s="25"/>
      <c r="E925" s="46">
        <v>0</v>
      </c>
      <c r="F925" s="144"/>
      <c r="G925" s="144"/>
      <c r="H925" s="144"/>
      <c r="I925" s="203"/>
      <c r="J925" s="203"/>
    </row>
    <row r="926" spans="1:10" ht="12.75">
      <c r="A926" s="158">
        <f t="shared" si="48"/>
        <v>851</v>
      </c>
      <c r="B926" s="6"/>
      <c r="C926" s="79" t="s">
        <v>682</v>
      </c>
      <c r="D926" s="25"/>
      <c r="E926" s="46"/>
      <c r="F926" s="144"/>
      <c r="G926" s="144"/>
      <c r="H926" s="144"/>
      <c r="I926" s="203"/>
      <c r="J926" s="203"/>
    </row>
    <row r="927" spans="1:10" ht="12.75">
      <c r="A927" s="158">
        <f t="shared" si="48"/>
        <v>852</v>
      </c>
      <c r="B927" s="6"/>
      <c r="C927" s="79" t="s">
        <v>683</v>
      </c>
      <c r="D927" s="25"/>
      <c r="E927" s="46"/>
      <c r="F927" s="144"/>
      <c r="G927" s="144"/>
      <c r="H927" s="144"/>
      <c r="I927" s="203"/>
      <c r="J927" s="203"/>
    </row>
    <row r="928" spans="1:10" ht="12.75">
      <c r="A928" s="158">
        <f t="shared" si="48"/>
        <v>853</v>
      </c>
      <c r="B928" s="6"/>
      <c r="C928" s="79" t="s">
        <v>684</v>
      </c>
      <c r="D928" s="25"/>
      <c r="E928" s="46"/>
      <c r="F928" s="144">
        <v>80000</v>
      </c>
      <c r="G928" s="144">
        <v>80000</v>
      </c>
      <c r="H928" s="144">
        <v>95000</v>
      </c>
      <c r="I928" s="203">
        <f>H928/G928</f>
        <v>1.1875</v>
      </c>
      <c r="J928" s="203">
        <f>H928/$H$1363</f>
        <v>0.0020665401567037823</v>
      </c>
    </row>
    <row r="929" spans="1:10" ht="12.75">
      <c r="A929" s="158">
        <f t="shared" si="48"/>
        <v>854</v>
      </c>
      <c r="B929" s="6">
        <v>4300</v>
      </c>
      <c r="C929" s="79" t="s">
        <v>467</v>
      </c>
      <c r="D929" s="25"/>
      <c r="E929" s="46"/>
      <c r="F929" s="144"/>
      <c r="G929" s="144"/>
      <c r="H929" s="144"/>
      <c r="I929" s="203"/>
      <c r="J929" s="203"/>
    </row>
    <row r="930" spans="1:10" ht="12.75">
      <c r="A930" s="158">
        <f t="shared" si="48"/>
        <v>855</v>
      </c>
      <c r="B930" s="6"/>
      <c r="C930" s="79" t="s">
        <v>468</v>
      </c>
      <c r="D930" s="25"/>
      <c r="E930" s="46"/>
      <c r="F930" s="144">
        <v>4500</v>
      </c>
      <c r="G930" s="144">
        <v>4500</v>
      </c>
      <c r="H930" s="144">
        <v>0</v>
      </c>
      <c r="I930" s="203">
        <f>H930/G930</f>
        <v>0</v>
      </c>
      <c r="J930" s="203">
        <f t="shared" si="52"/>
        <v>0</v>
      </c>
    </row>
    <row r="931" spans="1:10" ht="12.75">
      <c r="A931" s="158">
        <f t="shared" si="48"/>
        <v>856</v>
      </c>
      <c r="B931" s="56">
        <v>852</v>
      </c>
      <c r="C931" s="78" t="s">
        <v>202</v>
      </c>
      <c r="D931" s="25"/>
      <c r="E931" s="46"/>
      <c r="F931" s="151">
        <f>F933+F970+F973+F986+F988+F1021+F1038</f>
        <v>3063206</v>
      </c>
      <c r="G931" s="151">
        <f>G933+G970+G973+G986+G988+G1021+G1038</f>
        <v>3010052.09</v>
      </c>
      <c r="H931" s="151">
        <f>H933+H970+H973+H986+H988+H1021+H1038</f>
        <v>2990360</v>
      </c>
      <c r="I931" s="203">
        <f>H931/G931</f>
        <v>0.993457890624079</v>
      </c>
      <c r="J931" s="203">
        <f t="shared" si="52"/>
        <v>0.0650494634000076</v>
      </c>
    </row>
    <row r="932" spans="1:10" s="65" customFormat="1" ht="12.75">
      <c r="A932" s="158">
        <f t="shared" si="48"/>
        <v>857</v>
      </c>
      <c r="B932" s="62">
        <v>85212</v>
      </c>
      <c r="C932" s="68" t="s">
        <v>288</v>
      </c>
      <c r="D932" s="63"/>
      <c r="E932" s="125"/>
      <c r="F932" s="148"/>
      <c r="G932" s="148"/>
      <c r="H932" s="148"/>
      <c r="I932" s="203"/>
      <c r="J932" s="203"/>
    </row>
    <row r="933" spans="1:10" s="65" customFormat="1" ht="12.75">
      <c r="A933" s="158">
        <f t="shared" si="48"/>
        <v>858</v>
      </c>
      <c r="B933" s="69"/>
      <c r="C933" s="68" t="s">
        <v>287</v>
      </c>
      <c r="D933" s="63"/>
      <c r="E933" s="125"/>
      <c r="F933" s="148">
        <f>F934+F939+F943+F944+F949+F953+F957+F959+F961+F962+F964+F966</f>
        <v>1350051</v>
      </c>
      <c r="G933" s="148">
        <f>G934+G939+G943+G944+G949+G953+G957+G959+G961+G962+G964+G966</f>
        <v>1349908.9</v>
      </c>
      <c r="H933" s="148">
        <f>H934+H939+H943+H944+H949+H953+H957+H959+H961+H962+H964+H966</f>
        <v>1209920</v>
      </c>
      <c r="I933" s="203">
        <f>H933/G933</f>
        <v>0.8962975205215701</v>
      </c>
      <c r="J933" s="203">
        <f t="shared" si="52"/>
        <v>0.026319455435779373</v>
      </c>
    </row>
    <row r="934" spans="1:10" s="60" customFormat="1" ht="12.75">
      <c r="A934" s="158">
        <f t="shared" si="48"/>
        <v>859</v>
      </c>
      <c r="B934" s="85">
        <v>3110</v>
      </c>
      <c r="C934" s="79" t="s">
        <v>51</v>
      </c>
      <c r="D934" s="84"/>
      <c r="E934" s="83"/>
      <c r="F934" s="144">
        <f>SUM(F936:F938)</f>
        <v>1224000</v>
      </c>
      <c r="G934" s="144">
        <f>SUM(G936:G938)</f>
        <v>1224000</v>
      </c>
      <c r="H934" s="144">
        <f>SUM(H936:H938)</f>
        <v>1085220</v>
      </c>
      <c r="I934" s="203">
        <f>H934/G934</f>
        <v>0.8866176470588235</v>
      </c>
      <c r="J934" s="203">
        <f t="shared" si="52"/>
        <v>0.023606849566927143</v>
      </c>
    </row>
    <row r="935" spans="1:10" s="60" customFormat="1" ht="12.75">
      <c r="A935" s="158">
        <f t="shared" si="48"/>
        <v>860</v>
      </c>
      <c r="B935" s="126"/>
      <c r="C935" s="79" t="s">
        <v>15</v>
      </c>
      <c r="D935" s="84"/>
      <c r="E935" s="83"/>
      <c r="F935" s="144"/>
      <c r="G935" s="144"/>
      <c r="H935" s="144"/>
      <c r="I935" s="203"/>
      <c r="J935" s="203"/>
    </row>
    <row r="936" spans="1:10" s="60" customFormat="1" ht="12.75">
      <c r="A936" s="158">
        <f aca="true" t="shared" si="53" ref="A936:A999">A935+1</f>
        <v>861</v>
      </c>
      <c r="B936" s="126"/>
      <c r="C936" s="79" t="s">
        <v>216</v>
      </c>
      <c r="D936" s="84"/>
      <c r="E936" s="83"/>
      <c r="F936" s="144">
        <v>774000</v>
      </c>
      <c r="G936" s="144">
        <v>774000</v>
      </c>
      <c r="H936" s="144">
        <v>635220</v>
      </c>
      <c r="I936" s="203">
        <f>H936/G936</f>
        <v>0.8206976744186046</v>
      </c>
      <c r="J936" s="203">
        <f t="shared" si="52"/>
        <v>0.013817975140435543</v>
      </c>
    </row>
    <row r="937" spans="1:10" s="60" customFormat="1" ht="12.75">
      <c r="A937" s="158">
        <f t="shared" si="53"/>
        <v>862</v>
      </c>
      <c r="B937" s="126"/>
      <c r="C937" s="79" t="s">
        <v>213</v>
      </c>
      <c r="D937" s="84"/>
      <c r="E937" s="83"/>
      <c r="F937" s="144">
        <v>250000</v>
      </c>
      <c r="G937" s="144">
        <v>250000</v>
      </c>
      <c r="H937" s="144">
        <v>250000</v>
      </c>
      <c r="I937" s="203">
        <f aca="true" t="shared" si="54" ref="I937:I1004">H937/G937</f>
        <v>1</v>
      </c>
      <c r="J937" s="203">
        <f t="shared" si="52"/>
        <v>0.005438263570273111</v>
      </c>
    </row>
    <row r="938" spans="1:10" s="60" customFormat="1" ht="12.75">
      <c r="A938" s="158">
        <f t="shared" si="53"/>
        <v>863</v>
      </c>
      <c r="B938" s="126"/>
      <c r="C938" s="79" t="s">
        <v>254</v>
      </c>
      <c r="D938" s="84"/>
      <c r="E938" s="83"/>
      <c r="F938" s="144">
        <v>200000</v>
      </c>
      <c r="G938" s="144">
        <v>200000</v>
      </c>
      <c r="H938" s="144">
        <v>200000</v>
      </c>
      <c r="I938" s="203">
        <f t="shared" si="54"/>
        <v>1</v>
      </c>
      <c r="J938" s="203">
        <f t="shared" si="52"/>
        <v>0.004350610856218489</v>
      </c>
    </row>
    <row r="939" spans="1:10" s="60" customFormat="1" ht="12.75">
      <c r="A939" s="158">
        <f t="shared" si="53"/>
        <v>864</v>
      </c>
      <c r="B939" s="105">
        <v>4010</v>
      </c>
      <c r="C939" s="79" t="s">
        <v>27</v>
      </c>
      <c r="D939" s="84"/>
      <c r="E939" s="83"/>
      <c r="F939" s="144">
        <f>SUM(F941:F942)</f>
        <v>60000</v>
      </c>
      <c r="G939" s="144">
        <f>SUM(G941:G942)</f>
        <v>60000</v>
      </c>
      <c r="H939" s="144">
        <f>SUM(H941:H942)</f>
        <v>60000</v>
      </c>
      <c r="I939" s="203">
        <f t="shared" si="54"/>
        <v>1</v>
      </c>
      <c r="J939" s="203">
        <f t="shared" si="52"/>
        <v>0.0013051832568655468</v>
      </c>
    </row>
    <row r="940" spans="1:10" s="60" customFormat="1" ht="12.75">
      <c r="A940" s="158">
        <f t="shared" si="53"/>
        <v>865</v>
      </c>
      <c r="B940" s="105"/>
      <c r="C940" s="79" t="s">
        <v>15</v>
      </c>
      <c r="D940" s="84"/>
      <c r="E940" s="83"/>
      <c r="F940" s="144"/>
      <c r="G940" s="144"/>
      <c r="H940" s="144"/>
      <c r="I940" s="203"/>
      <c r="J940" s="203"/>
    </row>
    <row r="941" spans="1:10" s="60" customFormat="1" ht="12.75">
      <c r="A941" s="158">
        <f t="shared" si="53"/>
        <v>866</v>
      </c>
      <c r="B941" s="105"/>
      <c r="C941" s="79" t="s">
        <v>264</v>
      </c>
      <c r="D941" s="84"/>
      <c r="E941" s="83"/>
      <c r="F941" s="144">
        <v>27880</v>
      </c>
      <c r="G941" s="144">
        <v>27880</v>
      </c>
      <c r="H941" s="144">
        <v>23780</v>
      </c>
      <c r="I941" s="203">
        <f t="shared" si="54"/>
        <v>0.8529411764705882</v>
      </c>
      <c r="J941" s="203">
        <f t="shared" si="52"/>
        <v>0.0005172876308043783</v>
      </c>
    </row>
    <row r="942" spans="1:10" s="60" customFormat="1" ht="12.75">
      <c r="A942" s="158">
        <f t="shared" si="53"/>
        <v>867</v>
      </c>
      <c r="B942" s="105"/>
      <c r="C942" s="79" t="s">
        <v>265</v>
      </c>
      <c r="D942" s="84"/>
      <c r="E942" s="83"/>
      <c r="F942" s="144">
        <v>32120</v>
      </c>
      <c r="G942" s="144">
        <v>32120</v>
      </c>
      <c r="H942" s="144">
        <f>60000-H941</f>
        <v>36220</v>
      </c>
      <c r="I942" s="203">
        <f t="shared" si="54"/>
        <v>1.1276463262764633</v>
      </c>
      <c r="J942" s="203">
        <f t="shared" si="52"/>
        <v>0.0007878956260611683</v>
      </c>
    </row>
    <row r="943" spans="1:10" s="60" customFormat="1" ht="12.75">
      <c r="A943" s="158">
        <f t="shared" si="53"/>
        <v>868</v>
      </c>
      <c r="B943" s="105">
        <v>4040</v>
      </c>
      <c r="C943" s="79" t="s">
        <v>267</v>
      </c>
      <c r="D943" s="84"/>
      <c r="E943" s="83"/>
      <c r="F943" s="144">
        <v>3021</v>
      </c>
      <c r="G943" s="144">
        <v>2878.9</v>
      </c>
      <c r="H943" s="144">
        <v>4500</v>
      </c>
      <c r="I943" s="203">
        <f t="shared" si="54"/>
        <v>1.5630970162214735</v>
      </c>
      <c r="J943" s="203">
        <f t="shared" si="52"/>
        <v>9.788874426491601E-05</v>
      </c>
    </row>
    <row r="944" spans="1:10" s="60" customFormat="1" ht="12.75">
      <c r="A944" s="158">
        <f t="shared" si="53"/>
        <v>869</v>
      </c>
      <c r="B944" s="105">
        <v>4110</v>
      </c>
      <c r="C944" s="79" t="s">
        <v>214</v>
      </c>
      <c r="D944" s="84"/>
      <c r="E944" s="83"/>
      <c r="F944" s="144">
        <f>SUM(F946:F948)</f>
        <v>22010</v>
      </c>
      <c r="G944" s="144">
        <f>SUM(G946:G948)</f>
        <v>22010</v>
      </c>
      <c r="H944" s="144">
        <f>SUM(H946:H948)</f>
        <v>18200</v>
      </c>
      <c r="I944" s="203">
        <f t="shared" si="54"/>
        <v>0.8268968650613358</v>
      </c>
      <c r="J944" s="203">
        <f t="shared" si="52"/>
        <v>0.0003959055879158825</v>
      </c>
    </row>
    <row r="945" spans="1:10" s="60" customFormat="1" ht="12.75">
      <c r="A945" s="158">
        <f t="shared" si="53"/>
        <v>870</v>
      </c>
      <c r="B945" s="105"/>
      <c r="C945" s="79" t="s">
        <v>15</v>
      </c>
      <c r="D945" s="84"/>
      <c r="E945" s="83"/>
      <c r="F945" s="144"/>
      <c r="G945" s="144"/>
      <c r="H945" s="144"/>
      <c r="I945" s="203"/>
      <c r="J945" s="203"/>
    </row>
    <row r="946" spans="1:10" s="60" customFormat="1" ht="12.75">
      <c r="A946" s="158">
        <f t="shared" si="53"/>
        <v>871</v>
      </c>
      <c r="B946" s="105"/>
      <c r="C946" s="106" t="s">
        <v>266</v>
      </c>
      <c r="D946" s="84"/>
      <c r="E946" s="83"/>
      <c r="F946" s="144">
        <v>11200</v>
      </c>
      <c r="G946" s="144">
        <v>11200</v>
      </c>
      <c r="H946" s="144">
        <v>11200</v>
      </c>
      <c r="I946" s="203">
        <f t="shared" si="54"/>
        <v>1</v>
      </c>
      <c r="J946" s="203">
        <f t="shared" si="52"/>
        <v>0.00024363420794823538</v>
      </c>
    </row>
    <row r="947" spans="1:10" s="60" customFormat="1" ht="12.75">
      <c r="A947" s="158">
        <f t="shared" si="53"/>
        <v>872</v>
      </c>
      <c r="B947" s="105"/>
      <c r="C947" s="106" t="s">
        <v>277</v>
      </c>
      <c r="D947" s="84"/>
      <c r="E947" s="83"/>
      <c r="F947" s="144">
        <v>0</v>
      </c>
      <c r="G947" s="144">
        <v>0</v>
      </c>
      <c r="H947" s="144">
        <v>7000</v>
      </c>
      <c r="I947" s="203"/>
      <c r="J947" s="203">
        <f t="shared" si="52"/>
        <v>0.00015227137996764713</v>
      </c>
    </row>
    <row r="948" spans="1:10" s="60" customFormat="1" ht="12.75">
      <c r="A948" s="158">
        <f t="shared" si="53"/>
        <v>873</v>
      </c>
      <c r="B948" s="105"/>
      <c r="C948" s="79" t="s">
        <v>215</v>
      </c>
      <c r="D948" s="84"/>
      <c r="E948" s="83"/>
      <c r="F948" s="144">
        <v>10810</v>
      </c>
      <c r="G948" s="144">
        <v>10810</v>
      </c>
      <c r="H948" s="144"/>
      <c r="I948" s="203">
        <f t="shared" si="54"/>
        <v>0</v>
      </c>
      <c r="J948" s="203"/>
    </row>
    <row r="949" spans="1:10" s="60" customFormat="1" ht="12.75">
      <c r="A949" s="158">
        <f t="shared" si="53"/>
        <v>874</v>
      </c>
      <c r="B949" s="105">
        <v>4120</v>
      </c>
      <c r="C949" s="79" t="s">
        <v>280</v>
      </c>
      <c r="D949" s="84"/>
      <c r="E949" s="83"/>
      <c r="F949" s="144">
        <f>SUM(F951:F952)</f>
        <v>1600</v>
      </c>
      <c r="G949" s="144">
        <f>SUM(G951:G952)</f>
        <v>1600</v>
      </c>
      <c r="H949" s="144">
        <f>SUM(H951:H952)</f>
        <v>1600</v>
      </c>
      <c r="I949" s="203">
        <f t="shared" si="54"/>
        <v>1</v>
      </c>
      <c r="J949" s="203">
        <f t="shared" si="52"/>
        <v>3.480488684974791E-05</v>
      </c>
    </row>
    <row r="950" spans="1:10" s="60" customFormat="1" ht="12.75">
      <c r="A950" s="158">
        <f t="shared" si="53"/>
        <v>875</v>
      </c>
      <c r="B950" s="105"/>
      <c r="C950" s="79" t="s">
        <v>15</v>
      </c>
      <c r="D950" s="84"/>
      <c r="E950" s="83"/>
      <c r="F950" s="144"/>
      <c r="G950" s="144"/>
      <c r="H950" s="144"/>
      <c r="I950" s="203"/>
      <c r="J950" s="203"/>
    </row>
    <row r="951" spans="1:10" s="60" customFormat="1" ht="12.75">
      <c r="A951" s="158">
        <f t="shared" si="53"/>
        <v>876</v>
      </c>
      <c r="B951" s="105"/>
      <c r="C951" s="79" t="s">
        <v>278</v>
      </c>
      <c r="D951" s="84"/>
      <c r="E951" s="83"/>
      <c r="F951" s="144">
        <v>1600</v>
      </c>
      <c r="G951" s="144">
        <v>1600</v>
      </c>
      <c r="H951" s="144">
        <v>1600</v>
      </c>
      <c r="I951" s="203">
        <f t="shared" si="54"/>
        <v>1</v>
      </c>
      <c r="J951" s="203">
        <f t="shared" si="52"/>
        <v>3.480488684974791E-05</v>
      </c>
    </row>
    <row r="952" spans="1:10" s="60" customFormat="1" ht="12.75">
      <c r="A952" s="158">
        <f t="shared" si="53"/>
        <v>877</v>
      </c>
      <c r="B952" s="105"/>
      <c r="C952" s="79" t="s">
        <v>279</v>
      </c>
      <c r="D952" s="84"/>
      <c r="E952" s="83"/>
      <c r="F952" s="144">
        <v>0</v>
      </c>
      <c r="G952" s="144">
        <v>0</v>
      </c>
      <c r="H952" s="144"/>
      <c r="I952" s="203"/>
      <c r="J952" s="203"/>
    </row>
    <row r="953" spans="1:12" s="60" customFormat="1" ht="12.75">
      <c r="A953" s="158">
        <f t="shared" si="53"/>
        <v>878</v>
      </c>
      <c r="B953" s="105">
        <v>4210</v>
      </c>
      <c r="C953" s="79" t="s">
        <v>136</v>
      </c>
      <c r="D953" s="84"/>
      <c r="E953" s="83"/>
      <c r="F953" s="144">
        <f>SUM(F955:F956)</f>
        <v>4000</v>
      </c>
      <c r="G953" s="144">
        <f>SUM(G955:G956)</f>
        <v>4000</v>
      </c>
      <c r="H953" s="144">
        <f>SUM(H955:H956)</f>
        <v>4200</v>
      </c>
      <c r="I953" s="203">
        <f t="shared" si="54"/>
        <v>1.05</v>
      </c>
      <c r="J953" s="203">
        <f t="shared" si="52"/>
        <v>9.136282798058828E-05</v>
      </c>
      <c r="L953" s="134"/>
    </row>
    <row r="954" spans="1:10" s="60" customFormat="1" ht="12.75">
      <c r="A954" s="158">
        <f t="shared" si="53"/>
        <v>879</v>
      </c>
      <c r="B954" s="105"/>
      <c r="C954" s="79" t="s">
        <v>15</v>
      </c>
      <c r="D954" s="84"/>
      <c r="E954" s="83"/>
      <c r="F954" s="144"/>
      <c r="G954" s="144"/>
      <c r="H954" s="144"/>
      <c r="I954" s="203"/>
      <c r="J954" s="203"/>
    </row>
    <row r="955" spans="1:10" s="60" customFormat="1" ht="12.75">
      <c r="A955" s="158">
        <f t="shared" si="53"/>
        <v>880</v>
      </c>
      <c r="B955" s="105"/>
      <c r="C955" s="79" t="s">
        <v>518</v>
      </c>
      <c r="D955" s="84"/>
      <c r="E955" s="83"/>
      <c r="F955" s="144">
        <v>1000</v>
      </c>
      <c r="G955" s="144">
        <v>1000</v>
      </c>
      <c r="H955" s="144">
        <f>4200-3000</f>
        <v>1200</v>
      </c>
      <c r="I955" s="203">
        <f t="shared" si="54"/>
        <v>1.2</v>
      </c>
      <c r="J955" s="203">
        <f t="shared" si="52"/>
        <v>2.6103665137310935E-05</v>
      </c>
    </row>
    <row r="956" spans="1:10" s="60" customFormat="1" ht="12.75">
      <c r="A956" s="158">
        <f t="shared" si="53"/>
        <v>881</v>
      </c>
      <c r="B956" s="105"/>
      <c r="C956" s="79" t="s">
        <v>519</v>
      </c>
      <c r="D956" s="84"/>
      <c r="E956" s="83"/>
      <c r="F956" s="144">
        <v>3000</v>
      </c>
      <c r="G956" s="144">
        <v>3000</v>
      </c>
      <c r="H956" s="144">
        <v>3000</v>
      </c>
      <c r="I956" s="203">
        <f t="shared" si="54"/>
        <v>1</v>
      </c>
      <c r="J956" s="203">
        <f t="shared" si="52"/>
        <v>6.525916284327733E-05</v>
      </c>
    </row>
    <row r="957" spans="1:10" s="60" customFormat="1" ht="12.75">
      <c r="A957" s="158">
        <f t="shared" si="53"/>
        <v>882</v>
      </c>
      <c r="B957" s="105">
        <v>4300</v>
      </c>
      <c r="C957" s="79" t="s">
        <v>281</v>
      </c>
      <c r="D957" s="84"/>
      <c r="E957" s="83"/>
      <c r="F957" s="144">
        <v>7310</v>
      </c>
      <c r="G957" s="144">
        <v>7310</v>
      </c>
      <c r="H957" s="144">
        <v>7000</v>
      </c>
      <c r="I957" s="203">
        <f t="shared" si="54"/>
        <v>0.957592339261286</v>
      </c>
      <c r="J957" s="203">
        <f t="shared" si="52"/>
        <v>0.00015227137996764713</v>
      </c>
    </row>
    <row r="958" spans="1:10" s="60" customFormat="1" ht="12.75">
      <c r="A958" s="158">
        <f t="shared" si="53"/>
        <v>883</v>
      </c>
      <c r="B958" s="105">
        <v>4370</v>
      </c>
      <c r="C958" s="79" t="s">
        <v>320</v>
      </c>
      <c r="D958" s="84"/>
      <c r="E958" s="83"/>
      <c r="F958" s="144"/>
      <c r="G958" s="144"/>
      <c r="H958" s="144"/>
      <c r="I958" s="203"/>
      <c r="J958" s="203">
        <f t="shared" si="52"/>
        <v>0</v>
      </c>
    </row>
    <row r="959" spans="1:10" s="60" customFormat="1" ht="12.75">
      <c r="A959" s="158">
        <f t="shared" si="53"/>
        <v>884</v>
      </c>
      <c r="B959" s="105"/>
      <c r="C959" s="79" t="s">
        <v>362</v>
      </c>
      <c r="D959" s="84"/>
      <c r="E959" s="83"/>
      <c r="F959" s="144">
        <v>3000</v>
      </c>
      <c r="G959" s="144">
        <v>3000</v>
      </c>
      <c r="H959" s="144">
        <v>3000</v>
      </c>
      <c r="I959" s="203">
        <f t="shared" si="54"/>
        <v>1</v>
      </c>
      <c r="J959" s="203">
        <f t="shared" si="52"/>
        <v>6.525916284327733E-05</v>
      </c>
    </row>
    <row r="960" spans="1:10" s="60" customFormat="1" ht="12.75">
      <c r="A960" s="158">
        <f t="shared" si="53"/>
        <v>885</v>
      </c>
      <c r="B960" s="105">
        <v>4400</v>
      </c>
      <c r="C960" s="106" t="s">
        <v>438</v>
      </c>
      <c r="D960" s="84"/>
      <c r="E960" s="83"/>
      <c r="F960" s="144"/>
      <c r="G960" s="144"/>
      <c r="H960" s="144"/>
      <c r="I960" s="203"/>
      <c r="J960" s="203"/>
    </row>
    <row r="961" spans="1:10" s="60" customFormat="1" ht="12.75">
      <c r="A961" s="158">
        <f t="shared" si="53"/>
        <v>886</v>
      </c>
      <c r="B961" s="105"/>
      <c r="C961" s="106" t="s">
        <v>437</v>
      </c>
      <c r="D961" s="84"/>
      <c r="E961" s="83"/>
      <c r="F961" s="144">
        <v>18000</v>
      </c>
      <c r="G961" s="144">
        <v>18000</v>
      </c>
      <c r="H961" s="144">
        <v>19000</v>
      </c>
      <c r="I961" s="203">
        <f t="shared" si="54"/>
        <v>1.0555555555555556</v>
      </c>
      <c r="J961" s="203">
        <f t="shared" si="52"/>
        <v>0.00041330803134075647</v>
      </c>
    </row>
    <row r="962" spans="1:10" s="60" customFormat="1" ht="12.75">
      <c r="A962" s="158">
        <f t="shared" si="53"/>
        <v>887</v>
      </c>
      <c r="B962" s="105">
        <v>4440</v>
      </c>
      <c r="C962" s="106" t="s">
        <v>679</v>
      </c>
      <c r="D962" s="84"/>
      <c r="E962" s="83"/>
      <c r="F962" s="144">
        <v>1610</v>
      </c>
      <c r="G962" s="144">
        <v>1610</v>
      </c>
      <c r="H962" s="144">
        <v>1700</v>
      </c>
      <c r="I962" s="203">
        <f t="shared" si="54"/>
        <v>1.0559006211180124</v>
      </c>
      <c r="J962" s="203">
        <f t="shared" si="52"/>
        <v>3.698019227785716E-05</v>
      </c>
    </row>
    <row r="963" spans="1:10" s="60" customFormat="1" ht="12.75">
      <c r="A963" s="158">
        <f t="shared" si="53"/>
        <v>888</v>
      </c>
      <c r="B963" s="105">
        <v>4740</v>
      </c>
      <c r="C963" s="106" t="s">
        <v>685</v>
      </c>
      <c r="D963" s="84"/>
      <c r="E963" s="83"/>
      <c r="F963" s="144"/>
      <c r="G963" s="144"/>
      <c r="H963" s="144"/>
      <c r="I963" s="203"/>
      <c r="J963" s="203"/>
    </row>
    <row r="964" spans="1:10" s="60" customFormat="1" ht="12.75">
      <c r="A964" s="158">
        <f t="shared" si="53"/>
        <v>889</v>
      </c>
      <c r="B964" s="105"/>
      <c r="C964" s="106" t="s">
        <v>363</v>
      </c>
      <c r="D964" s="84"/>
      <c r="E964" s="83"/>
      <c r="F964" s="144">
        <v>2000</v>
      </c>
      <c r="G964" s="144">
        <v>2000</v>
      </c>
      <c r="H964" s="144">
        <v>2000</v>
      </c>
      <c r="I964" s="203">
        <f t="shared" si="54"/>
        <v>1</v>
      </c>
      <c r="J964" s="203">
        <f t="shared" si="52"/>
        <v>4.350610856218489E-05</v>
      </c>
    </row>
    <row r="965" spans="1:10" s="60" customFormat="1" ht="12.75">
      <c r="A965" s="158">
        <f t="shared" si="53"/>
        <v>890</v>
      </c>
      <c r="B965" s="105">
        <v>4750</v>
      </c>
      <c r="C965" s="79" t="s">
        <v>311</v>
      </c>
      <c r="D965" s="84"/>
      <c r="E965" s="83"/>
      <c r="F965" s="144"/>
      <c r="G965" s="144"/>
      <c r="H965" s="144"/>
      <c r="I965" s="203"/>
      <c r="J965" s="203"/>
    </row>
    <row r="966" spans="1:10" s="60" customFormat="1" ht="12.75">
      <c r="A966" s="158">
        <f t="shared" si="53"/>
        <v>891</v>
      </c>
      <c r="B966" s="105"/>
      <c r="C966" s="79" t="s">
        <v>364</v>
      </c>
      <c r="D966" s="84"/>
      <c r="E966" s="83"/>
      <c r="F966" s="144">
        <v>3500</v>
      </c>
      <c r="G966" s="144">
        <v>3500</v>
      </c>
      <c r="H966" s="144">
        <v>3500</v>
      </c>
      <c r="I966" s="203">
        <f t="shared" si="54"/>
        <v>1</v>
      </c>
      <c r="J966" s="203">
        <f t="shared" si="52"/>
        <v>7.613568998382356E-05</v>
      </c>
    </row>
    <row r="967" spans="1:10" ht="12.75">
      <c r="A967" s="158">
        <f t="shared" si="53"/>
        <v>892</v>
      </c>
      <c r="B967" s="62">
        <v>85213</v>
      </c>
      <c r="C967" s="68" t="s">
        <v>186</v>
      </c>
      <c r="D967" s="25"/>
      <c r="E967" s="46"/>
      <c r="F967" s="138"/>
      <c r="G967" s="138"/>
      <c r="H967" s="138"/>
      <c r="I967" s="203"/>
      <c r="J967" s="203"/>
    </row>
    <row r="968" spans="1:10" ht="12.75">
      <c r="A968" s="158">
        <f t="shared" si="53"/>
        <v>893</v>
      </c>
      <c r="B968" s="69"/>
      <c r="C968" s="68" t="s">
        <v>187</v>
      </c>
      <c r="D968" s="25"/>
      <c r="E968" s="46"/>
      <c r="F968" s="138"/>
      <c r="G968" s="138"/>
      <c r="H968" s="138"/>
      <c r="I968" s="203"/>
      <c r="J968" s="203"/>
    </row>
    <row r="969" spans="1:10" ht="12.75">
      <c r="A969" s="158">
        <f t="shared" si="53"/>
        <v>894</v>
      </c>
      <c r="B969" s="69"/>
      <c r="C969" s="68" t="s">
        <v>228</v>
      </c>
      <c r="D969" s="25"/>
      <c r="E969" s="46"/>
      <c r="F969" s="138"/>
      <c r="G969" s="138"/>
      <c r="H969" s="138"/>
      <c r="I969" s="203"/>
      <c r="J969" s="203"/>
    </row>
    <row r="970" spans="1:10" ht="12.75">
      <c r="A970" s="158">
        <f t="shared" si="53"/>
        <v>895</v>
      </c>
      <c r="B970" s="69"/>
      <c r="C970" s="68" t="s">
        <v>229</v>
      </c>
      <c r="D970" s="25"/>
      <c r="E970" s="46"/>
      <c r="F970" s="148">
        <f>F971</f>
        <v>12000</v>
      </c>
      <c r="G970" s="148">
        <f>G971</f>
        <v>12000</v>
      </c>
      <c r="H970" s="148">
        <f>H971</f>
        <v>13000</v>
      </c>
      <c r="I970" s="203">
        <f t="shared" si="54"/>
        <v>1.0833333333333333</v>
      </c>
      <c r="J970" s="203">
        <f t="shared" si="52"/>
        <v>0.00028278970565420177</v>
      </c>
    </row>
    <row r="971" spans="1:10" ht="12.75">
      <c r="A971" s="158">
        <f t="shared" si="53"/>
        <v>896</v>
      </c>
      <c r="B971" s="105">
        <v>4130</v>
      </c>
      <c r="C971" s="79" t="s">
        <v>188</v>
      </c>
      <c r="D971" s="25"/>
      <c r="E971" s="46"/>
      <c r="F971" s="138">
        <v>12000</v>
      </c>
      <c r="G971" s="138">
        <v>12000</v>
      </c>
      <c r="H971" s="138">
        <v>13000</v>
      </c>
      <c r="I971" s="203">
        <f t="shared" si="54"/>
        <v>1.0833333333333333</v>
      </c>
      <c r="J971" s="203">
        <f t="shared" si="52"/>
        <v>0.00028278970565420177</v>
      </c>
    </row>
    <row r="972" spans="1:10" ht="12.75">
      <c r="A972" s="158">
        <f t="shared" si="53"/>
        <v>897</v>
      </c>
      <c r="B972" s="11">
        <v>85214</v>
      </c>
      <c r="C972" s="68" t="s">
        <v>111</v>
      </c>
      <c r="D972" s="25"/>
      <c r="E972" s="46"/>
      <c r="F972" s="138"/>
      <c r="G972" s="138"/>
      <c r="H972" s="138"/>
      <c r="I972" s="203"/>
      <c r="J972" s="203"/>
    </row>
    <row r="973" spans="1:10" ht="12.75">
      <c r="A973" s="158">
        <f t="shared" si="53"/>
        <v>898</v>
      </c>
      <c r="B973" s="11"/>
      <c r="C973" s="68" t="s">
        <v>193</v>
      </c>
      <c r="D973" s="25"/>
      <c r="E973" s="46"/>
      <c r="F973" s="148">
        <f>F974+F979+F985</f>
        <v>403565</v>
      </c>
      <c r="G973" s="148">
        <f>G974+G979+G985</f>
        <v>403565</v>
      </c>
      <c r="H973" s="148">
        <f>H974+H979+H985</f>
        <v>497000</v>
      </c>
      <c r="I973" s="203">
        <f t="shared" si="54"/>
        <v>1.23152404197589</v>
      </c>
      <c r="J973" s="203">
        <f aca="true" t="shared" si="55" ref="J973:J1003">H973/$H$1363</f>
        <v>0.010811267977702946</v>
      </c>
    </row>
    <row r="974" spans="1:10" ht="12.75">
      <c r="A974" s="158">
        <f t="shared" si="53"/>
        <v>899</v>
      </c>
      <c r="B974" s="4">
        <v>3110</v>
      </c>
      <c r="C974" s="79" t="s">
        <v>51</v>
      </c>
      <c r="D974" s="25"/>
      <c r="E974" s="46"/>
      <c r="F974" s="138">
        <f>SUM(F976:F978)</f>
        <v>386065</v>
      </c>
      <c r="G974" s="138">
        <f>SUM(G976:G978)</f>
        <v>386065</v>
      </c>
      <c r="H974" s="138">
        <f>SUM(H976:H978)</f>
        <v>446000</v>
      </c>
      <c r="I974" s="203">
        <f t="shared" si="54"/>
        <v>1.1552458782847448</v>
      </c>
      <c r="J974" s="203">
        <f t="shared" si="55"/>
        <v>0.00970186220936723</v>
      </c>
    </row>
    <row r="975" spans="1:10" ht="12.75">
      <c r="A975" s="158">
        <f t="shared" si="53"/>
        <v>900</v>
      </c>
      <c r="B975" s="4"/>
      <c r="C975" s="79" t="s">
        <v>15</v>
      </c>
      <c r="D975" s="25"/>
      <c r="E975" s="46"/>
      <c r="F975" s="138"/>
      <c r="G975" s="138"/>
      <c r="H975" s="138"/>
      <c r="I975" s="203"/>
      <c r="J975" s="203"/>
    </row>
    <row r="976" spans="1:10" ht="12.75">
      <c r="A976" s="158">
        <f t="shared" si="53"/>
        <v>901</v>
      </c>
      <c r="B976" s="4"/>
      <c r="C976" s="79" t="s">
        <v>52</v>
      </c>
      <c r="D976" s="25"/>
      <c r="E976" s="46"/>
      <c r="F976" s="138">
        <v>124065</v>
      </c>
      <c r="G976" s="138">
        <v>124065</v>
      </c>
      <c r="H976" s="138">
        <v>134000</v>
      </c>
      <c r="I976" s="203">
        <f t="shared" si="54"/>
        <v>1.0800789908515698</v>
      </c>
      <c r="J976" s="203">
        <f t="shared" si="55"/>
        <v>0.0029149092736663875</v>
      </c>
    </row>
    <row r="977" spans="1:10" ht="12.75">
      <c r="A977" s="158">
        <f t="shared" si="53"/>
        <v>902</v>
      </c>
      <c r="B977" s="4"/>
      <c r="C977" s="79" t="s">
        <v>53</v>
      </c>
      <c r="D977" s="25"/>
      <c r="E977" s="46"/>
      <c r="F977" s="138">
        <v>125000</v>
      </c>
      <c r="G977" s="138">
        <v>125000</v>
      </c>
      <c r="H977" s="138">
        <v>150000</v>
      </c>
      <c r="I977" s="203">
        <f t="shared" si="54"/>
        <v>1.2</v>
      </c>
      <c r="J977" s="203">
        <f t="shared" si="55"/>
        <v>0.003262958142163867</v>
      </c>
    </row>
    <row r="978" spans="1:10" ht="12.75">
      <c r="A978" s="158">
        <f t="shared" si="53"/>
        <v>903</v>
      </c>
      <c r="B978" s="4"/>
      <c r="C978" s="79" t="s">
        <v>226</v>
      </c>
      <c r="D978" s="25"/>
      <c r="E978" s="46"/>
      <c r="F978" s="138">
        <v>137000</v>
      </c>
      <c r="G978" s="138">
        <v>137000</v>
      </c>
      <c r="H978" s="138">
        <v>162000</v>
      </c>
      <c r="I978" s="203">
        <f t="shared" si="54"/>
        <v>1.1824817518248176</v>
      </c>
      <c r="J978" s="203">
        <f t="shared" si="55"/>
        <v>0.003523994793536976</v>
      </c>
    </row>
    <row r="979" spans="1:10" ht="12.75">
      <c r="A979" s="158">
        <f t="shared" si="53"/>
        <v>904</v>
      </c>
      <c r="B979" s="4">
        <v>4110</v>
      </c>
      <c r="C979" s="79" t="s">
        <v>32</v>
      </c>
      <c r="D979" s="25"/>
      <c r="E979" s="46"/>
      <c r="F979" s="138">
        <f>SUM(F981:F982)</f>
        <v>2500</v>
      </c>
      <c r="G979" s="138">
        <f>SUM(G981:G982)</f>
        <v>2500</v>
      </c>
      <c r="H979" s="138">
        <f>SUM(H981:H982)</f>
        <v>1000</v>
      </c>
      <c r="I979" s="203">
        <f t="shared" si="54"/>
        <v>0.4</v>
      </c>
      <c r="J979" s="203">
        <f t="shared" si="55"/>
        <v>2.1753054281092445E-05</v>
      </c>
    </row>
    <row r="980" spans="1:10" ht="12.75">
      <c r="A980" s="158">
        <f t="shared" si="53"/>
        <v>905</v>
      </c>
      <c r="B980" s="4"/>
      <c r="C980" s="79" t="s">
        <v>15</v>
      </c>
      <c r="D980" s="25"/>
      <c r="E980" s="46"/>
      <c r="F980" s="138"/>
      <c r="G980" s="138"/>
      <c r="H980" s="138"/>
      <c r="I980" s="203"/>
      <c r="J980" s="203"/>
    </row>
    <row r="981" spans="1:10" ht="12.75">
      <c r="A981" s="158">
        <f t="shared" si="53"/>
        <v>906</v>
      </c>
      <c r="B981" s="4"/>
      <c r="C981" s="79" t="s">
        <v>52</v>
      </c>
      <c r="D981" s="25"/>
      <c r="E981" s="46"/>
      <c r="F981" s="138">
        <v>1000</v>
      </c>
      <c r="G981" s="138">
        <v>1000</v>
      </c>
      <c r="H981" s="138">
        <v>1000</v>
      </c>
      <c r="I981" s="203">
        <f t="shared" si="54"/>
        <v>1</v>
      </c>
      <c r="J981" s="203">
        <f t="shared" si="55"/>
        <v>2.1753054281092445E-05</v>
      </c>
    </row>
    <row r="982" spans="1:10" ht="12.75">
      <c r="A982" s="158">
        <f t="shared" si="53"/>
        <v>907</v>
      </c>
      <c r="B982" s="4"/>
      <c r="C982" s="79" t="s">
        <v>53</v>
      </c>
      <c r="D982" s="25"/>
      <c r="E982" s="46"/>
      <c r="F982" s="138">
        <v>1500</v>
      </c>
      <c r="G982" s="138">
        <v>1500</v>
      </c>
      <c r="H982" s="138"/>
      <c r="I982" s="203">
        <f t="shared" si="54"/>
        <v>0</v>
      </c>
      <c r="J982" s="203">
        <f t="shared" si="55"/>
        <v>0</v>
      </c>
    </row>
    <row r="983" spans="1:10" ht="12.75">
      <c r="A983" s="158">
        <f t="shared" si="53"/>
        <v>908</v>
      </c>
      <c r="B983" s="4">
        <v>4330</v>
      </c>
      <c r="C983" s="79" t="s">
        <v>235</v>
      </c>
      <c r="D983" s="25"/>
      <c r="E983" s="46"/>
      <c r="F983" s="138"/>
      <c r="G983" s="138"/>
      <c r="H983" s="138"/>
      <c r="I983" s="203"/>
      <c r="J983" s="203"/>
    </row>
    <row r="984" spans="1:10" ht="12.75">
      <c r="A984" s="158">
        <f t="shared" si="53"/>
        <v>909</v>
      </c>
      <c r="B984" s="4"/>
      <c r="C984" s="79" t="s">
        <v>236</v>
      </c>
      <c r="D984" s="25"/>
      <c r="E984" s="46"/>
      <c r="F984" s="138"/>
      <c r="G984" s="138"/>
      <c r="H984" s="138"/>
      <c r="I984" s="203"/>
      <c r="J984" s="203"/>
    </row>
    <row r="985" spans="1:10" ht="12.75">
      <c r="A985" s="158">
        <f t="shared" si="53"/>
        <v>910</v>
      </c>
      <c r="B985" s="4"/>
      <c r="C985" s="79" t="s">
        <v>237</v>
      </c>
      <c r="D985" s="25"/>
      <c r="E985" s="46"/>
      <c r="F985" s="138">
        <v>15000</v>
      </c>
      <c r="G985" s="138">
        <v>15000</v>
      </c>
      <c r="H985" s="138">
        <v>50000</v>
      </c>
      <c r="I985" s="203">
        <f t="shared" si="54"/>
        <v>3.3333333333333335</v>
      </c>
      <c r="J985" s="203">
        <f t="shared" si="55"/>
        <v>0.0010876527140546222</v>
      </c>
    </row>
    <row r="986" spans="1:10" ht="12.75">
      <c r="A986" s="158">
        <f t="shared" si="53"/>
        <v>911</v>
      </c>
      <c r="B986" s="11">
        <v>85215</v>
      </c>
      <c r="C986" s="68" t="s">
        <v>59</v>
      </c>
      <c r="D986" s="25"/>
      <c r="E986" s="46"/>
      <c r="F986" s="148">
        <f>F987</f>
        <v>198000</v>
      </c>
      <c r="G986" s="148">
        <f>G987</f>
        <v>150000</v>
      </c>
      <c r="H986" s="148">
        <f>H987</f>
        <v>200000</v>
      </c>
      <c r="I986" s="203">
        <f t="shared" si="54"/>
        <v>1.3333333333333333</v>
      </c>
      <c r="J986" s="203">
        <f t="shared" si="55"/>
        <v>0.004350610856218489</v>
      </c>
    </row>
    <row r="987" spans="1:10" ht="12.75">
      <c r="A987" s="158">
        <f t="shared" si="53"/>
        <v>912</v>
      </c>
      <c r="B987" s="4">
        <v>3110</v>
      </c>
      <c r="C987" s="79" t="s">
        <v>51</v>
      </c>
      <c r="D987" s="25"/>
      <c r="E987" s="46"/>
      <c r="F987" s="144">
        <v>198000</v>
      </c>
      <c r="G987" s="144">
        <v>150000</v>
      </c>
      <c r="H987" s="144">
        <v>200000</v>
      </c>
      <c r="I987" s="203">
        <f t="shared" si="54"/>
        <v>1.3333333333333333</v>
      </c>
      <c r="J987" s="203">
        <f t="shared" si="55"/>
        <v>0.004350610856218489</v>
      </c>
    </row>
    <row r="988" spans="1:10" ht="12.75">
      <c r="A988" s="158">
        <f t="shared" si="53"/>
        <v>913</v>
      </c>
      <c r="B988" s="62">
        <v>85219</v>
      </c>
      <c r="C988" s="68" t="s">
        <v>112</v>
      </c>
      <c r="D988" s="25"/>
      <c r="E988" s="46"/>
      <c r="F988" s="148">
        <f>F989+F993+F994+F995+F996+F997+F998+F1002+F1003+F1004+F1006+F1008+F1009+F1010+F1011+F1013+F1015+F1017</f>
        <v>596640</v>
      </c>
      <c r="G988" s="148">
        <f>G989+G993+G994+G995+G996+G997+G998+G1002+G1003+G1004+G1006+G1008+G1009+G1010+G1011+G1013+G1015+G1017</f>
        <v>593227.4199999999</v>
      </c>
      <c r="H988" s="148">
        <f>H989+H993+H994+H995+H996+H997+H998+H1002+H1003+H1004+H1006+H1008+H1009+H1010+H1011+H1013+H1015+H1017</f>
        <v>625590</v>
      </c>
      <c r="I988" s="203">
        <f t="shared" si="54"/>
        <v>1.0545534122478697</v>
      </c>
      <c r="J988" s="203">
        <f t="shared" si="55"/>
        <v>0.013608493227708622</v>
      </c>
    </row>
    <row r="989" spans="1:10" ht="12.75">
      <c r="A989" s="158">
        <f t="shared" si="53"/>
        <v>914</v>
      </c>
      <c r="B989" s="4">
        <v>3020</v>
      </c>
      <c r="C989" s="79" t="s">
        <v>238</v>
      </c>
      <c r="D989" s="25"/>
      <c r="E989" s="46"/>
      <c r="F989" s="138">
        <f>SUM(F991:F992)</f>
        <v>5000</v>
      </c>
      <c r="G989" s="138">
        <f>SUM(G991:G992)</f>
        <v>3640</v>
      </c>
      <c r="H989" s="138">
        <f>SUM(H991:H992)</f>
        <v>5000</v>
      </c>
      <c r="I989" s="203">
        <f t="shared" si="54"/>
        <v>1.3736263736263736</v>
      </c>
      <c r="J989" s="203">
        <f t="shared" si="55"/>
        <v>0.00010876527140546222</v>
      </c>
    </row>
    <row r="990" spans="1:10" ht="12.75">
      <c r="A990" s="158">
        <f t="shared" si="53"/>
        <v>915</v>
      </c>
      <c r="B990" s="4"/>
      <c r="C990" s="79" t="s">
        <v>15</v>
      </c>
      <c r="D990" s="25"/>
      <c r="E990" s="46"/>
      <c r="F990" s="138"/>
      <c r="G990" s="138"/>
      <c r="H990" s="138"/>
      <c r="I990" s="203"/>
      <c r="J990" s="203"/>
    </row>
    <row r="991" spans="1:10" ht="12.75">
      <c r="A991" s="158">
        <f t="shared" si="53"/>
        <v>916</v>
      </c>
      <c r="B991" s="4"/>
      <c r="C991" s="79" t="s">
        <v>268</v>
      </c>
      <c r="D991" s="25"/>
      <c r="E991" s="46"/>
      <c r="F991" s="138">
        <v>3000</v>
      </c>
      <c r="G991" s="138">
        <v>3000</v>
      </c>
      <c r="H991" s="138">
        <v>3000</v>
      </c>
      <c r="I991" s="203">
        <f t="shared" si="54"/>
        <v>1</v>
      </c>
      <c r="J991" s="203">
        <f t="shared" si="55"/>
        <v>6.525916284327733E-05</v>
      </c>
    </row>
    <row r="992" spans="1:10" ht="12.75">
      <c r="A992" s="158">
        <f t="shared" si="53"/>
        <v>917</v>
      </c>
      <c r="B992" s="4"/>
      <c r="C992" s="79" t="s">
        <v>85</v>
      </c>
      <c r="D992" s="25"/>
      <c r="E992" s="46"/>
      <c r="F992" s="138">
        <v>2000</v>
      </c>
      <c r="G992" s="138">
        <v>640</v>
      </c>
      <c r="H992" s="138">
        <v>2000</v>
      </c>
      <c r="I992" s="203">
        <f t="shared" si="54"/>
        <v>3.125</v>
      </c>
      <c r="J992" s="203">
        <f t="shared" si="55"/>
        <v>4.350610856218489E-05</v>
      </c>
    </row>
    <row r="993" spans="1:10" ht="12.75">
      <c r="A993" s="158">
        <f t="shared" si="53"/>
        <v>918</v>
      </c>
      <c r="B993" s="4">
        <v>4010</v>
      </c>
      <c r="C993" s="79" t="s">
        <v>27</v>
      </c>
      <c r="D993" s="25"/>
      <c r="E993" s="46"/>
      <c r="F993" s="138">
        <v>353400</v>
      </c>
      <c r="G993" s="138">
        <v>353400</v>
      </c>
      <c r="H993" s="138">
        <v>370200</v>
      </c>
      <c r="I993" s="203">
        <f t="shared" si="54"/>
        <v>1.0475382003395586</v>
      </c>
      <c r="J993" s="203">
        <f t="shared" si="55"/>
        <v>0.008052980694860424</v>
      </c>
    </row>
    <row r="994" spans="1:10" ht="12.75">
      <c r="A994" s="158">
        <f t="shared" si="53"/>
        <v>919</v>
      </c>
      <c r="B994" s="4">
        <v>4040</v>
      </c>
      <c r="C994" s="79" t="s">
        <v>28</v>
      </c>
      <c r="D994" s="25"/>
      <c r="E994" s="46"/>
      <c r="F994" s="138">
        <v>25913</v>
      </c>
      <c r="G994" s="138">
        <v>23860.42</v>
      </c>
      <c r="H994" s="138">
        <v>28000</v>
      </c>
      <c r="I994" s="203">
        <f t="shared" si="54"/>
        <v>1.1734914976349957</v>
      </c>
      <c r="J994" s="203">
        <f t="shared" si="55"/>
        <v>0.0006090855198705885</v>
      </c>
    </row>
    <row r="995" spans="1:10" ht="12.75">
      <c r="A995" s="158">
        <f t="shared" si="53"/>
        <v>920</v>
      </c>
      <c r="B995" s="4">
        <v>4110</v>
      </c>
      <c r="C995" s="79" t="s">
        <v>57</v>
      </c>
      <c r="D995" s="25"/>
      <c r="E995" s="46"/>
      <c r="F995" s="138">
        <v>65400</v>
      </c>
      <c r="G995" s="138">
        <v>65400</v>
      </c>
      <c r="H995" s="138">
        <v>62500</v>
      </c>
      <c r="I995" s="203">
        <f t="shared" si="54"/>
        <v>0.9556574923547401</v>
      </c>
      <c r="J995" s="203">
        <f t="shared" si="55"/>
        <v>0.0013595658925682778</v>
      </c>
    </row>
    <row r="996" spans="1:10" ht="12.75">
      <c r="A996" s="158">
        <f t="shared" si="53"/>
        <v>921</v>
      </c>
      <c r="B996" s="4">
        <v>4120</v>
      </c>
      <c r="C996" s="79" t="s">
        <v>33</v>
      </c>
      <c r="D996" s="25"/>
      <c r="E996" s="46"/>
      <c r="F996" s="138">
        <v>9100</v>
      </c>
      <c r="G996" s="138">
        <v>9100</v>
      </c>
      <c r="H996" s="138">
        <v>9700</v>
      </c>
      <c r="I996" s="203">
        <f t="shared" si="54"/>
        <v>1.065934065934066</v>
      </c>
      <c r="J996" s="203">
        <f t="shared" si="55"/>
        <v>0.00021100462652659673</v>
      </c>
    </row>
    <row r="997" spans="1:10" ht="12.75">
      <c r="A997" s="158">
        <f t="shared" si="53"/>
        <v>922</v>
      </c>
      <c r="B997" s="4">
        <v>4170</v>
      </c>
      <c r="C997" s="79" t="s">
        <v>231</v>
      </c>
      <c r="D997" s="25"/>
      <c r="E997" s="46"/>
      <c r="F997" s="138">
        <v>1000</v>
      </c>
      <c r="G997" s="138">
        <v>1000</v>
      </c>
      <c r="H997" s="138">
        <v>2000</v>
      </c>
      <c r="I997" s="203">
        <f t="shared" si="54"/>
        <v>2</v>
      </c>
      <c r="J997" s="203">
        <f t="shared" si="55"/>
        <v>4.350610856218489E-05</v>
      </c>
    </row>
    <row r="998" spans="1:10" ht="12.75">
      <c r="A998" s="158">
        <f t="shared" si="53"/>
        <v>923</v>
      </c>
      <c r="B998" s="4">
        <v>4210</v>
      </c>
      <c r="C998" s="79" t="s">
        <v>136</v>
      </c>
      <c r="D998" s="25"/>
      <c r="E998" s="46"/>
      <c r="F998" s="138">
        <f>SUM(F1000:F1001)</f>
        <v>12300</v>
      </c>
      <c r="G998" s="138">
        <f>SUM(G1000:G1001)</f>
        <v>12300</v>
      </c>
      <c r="H998" s="138">
        <f>SUM(H1000:H1001)</f>
        <v>11100</v>
      </c>
      <c r="I998" s="203">
        <f t="shared" si="54"/>
        <v>0.9024390243902439</v>
      </c>
      <c r="J998" s="203">
        <f t="shared" si="55"/>
        <v>0.00024145890252012616</v>
      </c>
    </row>
    <row r="999" spans="1:10" ht="12.75">
      <c r="A999" s="158">
        <f t="shared" si="53"/>
        <v>924</v>
      </c>
      <c r="B999" s="4"/>
      <c r="C999" s="79" t="s">
        <v>15</v>
      </c>
      <c r="D999" s="25"/>
      <c r="E999" s="46"/>
      <c r="F999" s="138"/>
      <c r="G999" s="138"/>
      <c r="H999" s="138"/>
      <c r="I999" s="203"/>
      <c r="J999" s="203"/>
    </row>
    <row r="1000" spans="1:10" ht="12.75">
      <c r="A1000" s="158">
        <f aca="true" t="shared" si="56" ref="A1000:A1074">A999+1</f>
        <v>925</v>
      </c>
      <c r="B1000" s="4"/>
      <c r="C1000" s="79" t="s">
        <v>520</v>
      </c>
      <c r="D1000" s="25"/>
      <c r="E1000" s="46"/>
      <c r="F1000" s="138">
        <v>10300</v>
      </c>
      <c r="G1000" s="138">
        <v>10300</v>
      </c>
      <c r="H1000" s="138">
        <v>11100</v>
      </c>
      <c r="I1000" s="203"/>
      <c r="J1000" s="203">
        <f t="shared" si="55"/>
        <v>0.00024145890252012616</v>
      </c>
    </row>
    <row r="1001" spans="1:10" ht="12.75">
      <c r="A1001" s="158">
        <f t="shared" si="56"/>
        <v>926</v>
      </c>
      <c r="B1001" s="4"/>
      <c r="C1001" s="79" t="s">
        <v>521</v>
      </c>
      <c r="D1001" s="25"/>
      <c r="E1001" s="46"/>
      <c r="F1001" s="138">
        <v>2000</v>
      </c>
      <c r="G1001" s="138">
        <v>2000</v>
      </c>
      <c r="H1001" s="138">
        <v>0</v>
      </c>
      <c r="I1001" s="203"/>
      <c r="J1001" s="203">
        <f t="shared" si="55"/>
        <v>0</v>
      </c>
    </row>
    <row r="1002" spans="1:10" ht="12.75">
      <c r="A1002" s="158">
        <f t="shared" si="56"/>
        <v>927</v>
      </c>
      <c r="B1002" s="4">
        <v>4280</v>
      </c>
      <c r="C1002" s="79" t="s">
        <v>286</v>
      </c>
      <c r="D1002" s="25"/>
      <c r="E1002" s="46"/>
      <c r="F1002" s="138">
        <v>1000</v>
      </c>
      <c r="G1002" s="138">
        <v>1000</v>
      </c>
      <c r="H1002" s="138">
        <v>1100</v>
      </c>
      <c r="I1002" s="203">
        <f t="shared" si="54"/>
        <v>1.1</v>
      </c>
      <c r="J1002" s="203">
        <f t="shared" si="55"/>
        <v>2.392835970920169E-05</v>
      </c>
    </row>
    <row r="1003" spans="1:10" ht="12.75">
      <c r="A1003" s="158">
        <f t="shared" si="56"/>
        <v>928</v>
      </c>
      <c r="B1003" s="4">
        <v>4300</v>
      </c>
      <c r="C1003" s="79" t="s">
        <v>134</v>
      </c>
      <c r="D1003" s="25"/>
      <c r="E1003" s="46"/>
      <c r="F1003" s="138">
        <v>53790</v>
      </c>
      <c r="G1003" s="138">
        <v>53790</v>
      </c>
      <c r="H1003" s="138">
        <v>55390</v>
      </c>
      <c r="I1003" s="203">
        <f t="shared" si="54"/>
        <v>1.0297453058189254</v>
      </c>
      <c r="J1003" s="203">
        <f t="shared" si="55"/>
        <v>0.0012049016766297106</v>
      </c>
    </row>
    <row r="1004" spans="1:10" ht="12.75">
      <c r="A1004" s="158">
        <f t="shared" si="56"/>
        <v>929</v>
      </c>
      <c r="B1004" s="15">
        <v>4350</v>
      </c>
      <c r="C1004" s="120" t="s">
        <v>331</v>
      </c>
      <c r="D1004" s="25"/>
      <c r="E1004" s="46"/>
      <c r="F1004" s="138">
        <v>1500</v>
      </c>
      <c r="G1004" s="138">
        <v>1500</v>
      </c>
      <c r="H1004" s="138">
        <v>1500</v>
      </c>
      <c r="I1004" s="203">
        <f t="shared" si="54"/>
        <v>1</v>
      </c>
      <c r="J1004" s="203">
        <f aca="true" t="shared" si="57" ref="J1004:J1047">H1004/$H$1363</f>
        <v>3.262958142163867E-05</v>
      </c>
    </row>
    <row r="1005" spans="1:10" ht="12.75">
      <c r="A1005" s="158">
        <f t="shared" si="56"/>
        <v>930</v>
      </c>
      <c r="B1005" s="15">
        <v>4370</v>
      </c>
      <c r="C1005" s="120" t="s">
        <v>320</v>
      </c>
      <c r="D1005" s="25"/>
      <c r="E1005" s="46"/>
      <c r="F1005" s="138"/>
      <c r="G1005" s="138"/>
      <c r="H1005" s="138"/>
      <c r="I1005" s="203"/>
      <c r="J1005" s="203"/>
    </row>
    <row r="1006" spans="1:10" ht="12.75">
      <c r="A1006" s="158">
        <f t="shared" si="56"/>
        <v>931</v>
      </c>
      <c r="B1006" s="15"/>
      <c r="C1006" s="120" t="s">
        <v>304</v>
      </c>
      <c r="D1006" s="25"/>
      <c r="E1006" s="46"/>
      <c r="F1006" s="138">
        <v>8400</v>
      </c>
      <c r="G1006" s="138">
        <v>8400</v>
      </c>
      <c r="H1006" s="138">
        <v>8700</v>
      </c>
      <c r="I1006" s="203">
        <f aca="true" t="shared" si="58" ref="I1006:I1084">H1006/G1006</f>
        <v>1.0357142857142858</v>
      </c>
      <c r="J1006" s="203">
        <f t="shared" si="57"/>
        <v>0.00018925157224550427</v>
      </c>
    </row>
    <row r="1007" spans="1:10" ht="12.75">
      <c r="A1007" s="158">
        <f t="shared" si="56"/>
        <v>932</v>
      </c>
      <c r="B1007" s="105">
        <v>4400</v>
      </c>
      <c r="C1007" s="79" t="s">
        <v>438</v>
      </c>
      <c r="D1007" s="25"/>
      <c r="E1007" s="46"/>
      <c r="F1007" s="138"/>
      <c r="G1007" s="138"/>
      <c r="H1007" s="138"/>
      <c r="I1007" s="203"/>
      <c r="J1007" s="203"/>
    </row>
    <row r="1008" spans="1:10" ht="12.75">
      <c r="A1008" s="158">
        <f t="shared" si="56"/>
        <v>933</v>
      </c>
      <c r="B1008" s="105"/>
      <c r="C1008" s="79" t="s">
        <v>437</v>
      </c>
      <c r="D1008" s="25"/>
      <c r="E1008" s="46"/>
      <c r="F1008" s="138">
        <v>36000</v>
      </c>
      <c r="G1008" s="138">
        <v>36000</v>
      </c>
      <c r="H1008" s="138">
        <v>44000</v>
      </c>
      <c r="I1008" s="203">
        <f t="shared" si="58"/>
        <v>1.2222222222222223</v>
      </c>
      <c r="J1008" s="203">
        <f t="shared" si="57"/>
        <v>0.0009571343883680676</v>
      </c>
    </row>
    <row r="1009" spans="1:10" ht="12.75">
      <c r="A1009" s="158">
        <f t="shared" si="56"/>
        <v>934</v>
      </c>
      <c r="B1009" s="4">
        <v>4410</v>
      </c>
      <c r="C1009" s="79" t="s">
        <v>29</v>
      </c>
      <c r="D1009" s="25"/>
      <c r="E1009" s="46"/>
      <c r="F1009" s="138">
        <v>3400</v>
      </c>
      <c r="G1009" s="138">
        <v>3400</v>
      </c>
      <c r="H1009" s="138">
        <v>4000</v>
      </c>
      <c r="I1009" s="203">
        <f t="shared" si="58"/>
        <v>1.1764705882352942</v>
      </c>
      <c r="J1009" s="203">
        <f t="shared" si="57"/>
        <v>8.701221712436978E-05</v>
      </c>
    </row>
    <row r="1010" spans="1:10" ht="12.75">
      <c r="A1010" s="158">
        <f t="shared" si="56"/>
        <v>935</v>
      </c>
      <c r="B1010" s="4">
        <v>4430</v>
      </c>
      <c r="C1010" s="79" t="s">
        <v>40</v>
      </c>
      <c r="D1010" s="25"/>
      <c r="E1010" s="46"/>
      <c r="F1010" s="138">
        <v>2000</v>
      </c>
      <c r="G1010" s="138">
        <v>2000</v>
      </c>
      <c r="H1010" s="138">
        <v>2100</v>
      </c>
      <c r="I1010" s="203">
        <f t="shared" si="58"/>
        <v>1.05</v>
      </c>
      <c r="J1010" s="203">
        <f t="shared" si="57"/>
        <v>4.568141399029414E-05</v>
      </c>
    </row>
    <row r="1011" spans="1:10" ht="12.75">
      <c r="A1011" s="158">
        <f t="shared" si="56"/>
        <v>936</v>
      </c>
      <c r="B1011" s="4">
        <v>4440</v>
      </c>
      <c r="C1011" s="79" t="s">
        <v>58</v>
      </c>
      <c r="D1011" s="25"/>
      <c r="E1011" s="46"/>
      <c r="F1011" s="138">
        <v>6437</v>
      </c>
      <c r="G1011" s="138">
        <v>6437</v>
      </c>
      <c r="H1011" s="138">
        <v>6800</v>
      </c>
      <c r="I1011" s="203">
        <f t="shared" si="58"/>
        <v>1.056392729532391</v>
      </c>
      <c r="J1011" s="203">
        <f t="shared" si="57"/>
        <v>0.00014792076911142863</v>
      </c>
    </row>
    <row r="1012" spans="1:10" ht="12.75">
      <c r="A1012" s="158">
        <f t="shared" si="56"/>
        <v>937</v>
      </c>
      <c r="B1012" s="4">
        <v>4700</v>
      </c>
      <c r="C1012" s="79" t="s">
        <v>340</v>
      </c>
      <c r="D1012" s="25"/>
      <c r="E1012" s="46"/>
      <c r="F1012" s="138"/>
      <c r="G1012" s="138"/>
      <c r="H1012" s="138"/>
      <c r="I1012" s="203"/>
      <c r="J1012" s="203"/>
    </row>
    <row r="1013" spans="1:10" ht="12.75">
      <c r="A1013" s="158">
        <f t="shared" si="56"/>
        <v>938</v>
      </c>
      <c r="B1013" s="4"/>
      <c r="C1013" s="79" t="s">
        <v>341</v>
      </c>
      <c r="D1013" s="25"/>
      <c r="E1013" s="46"/>
      <c r="F1013" s="138">
        <v>4000</v>
      </c>
      <c r="G1013" s="138">
        <v>4000</v>
      </c>
      <c r="H1013" s="138">
        <v>5000</v>
      </c>
      <c r="I1013" s="203">
        <f t="shared" si="58"/>
        <v>1.25</v>
      </c>
      <c r="J1013" s="203">
        <f t="shared" si="57"/>
        <v>0.00010876527140546222</v>
      </c>
    </row>
    <row r="1014" spans="1:10" ht="12.75">
      <c r="A1014" s="158">
        <f t="shared" si="56"/>
        <v>939</v>
      </c>
      <c r="B1014" s="15">
        <v>4740</v>
      </c>
      <c r="C1014" s="120" t="s">
        <v>309</v>
      </c>
      <c r="D1014" s="25"/>
      <c r="E1014" s="46"/>
      <c r="F1014" s="138"/>
      <c r="G1014" s="138"/>
      <c r="H1014" s="138"/>
      <c r="I1014" s="203"/>
      <c r="J1014" s="203"/>
    </row>
    <row r="1015" spans="1:10" ht="12.75">
      <c r="A1015" s="158">
        <f t="shared" si="56"/>
        <v>940</v>
      </c>
      <c r="B1015" s="15"/>
      <c r="C1015" s="120" t="s">
        <v>310</v>
      </c>
      <c r="D1015" s="25"/>
      <c r="E1015" s="46"/>
      <c r="F1015" s="138">
        <v>2000</v>
      </c>
      <c r="G1015" s="138">
        <v>2000</v>
      </c>
      <c r="H1015" s="138">
        <v>2500</v>
      </c>
      <c r="I1015" s="203">
        <f t="shared" si="58"/>
        <v>1.25</v>
      </c>
      <c r="J1015" s="203">
        <f t="shared" si="57"/>
        <v>5.438263570273111E-05</v>
      </c>
    </row>
    <row r="1016" spans="1:10" ht="12.75">
      <c r="A1016" s="158">
        <f t="shared" si="56"/>
        <v>941</v>
      </c>
      <c r="B1016" s="15">
        <v>4750</v>
      </c>
      <c r="C1016" s="120" t="s">
        <v>311</v>
      </c>
      <c r="D1016" s="25"/>
      <c r="E1016" s="46"/>
      <c r="F1016" s="138"/>
      <c r="G1016" s="138"/>
      <c r="H1016" s="138"/>
      <c r="I1016" s="203"/>
      <c r="J1016" s="203"/>
    </row>
    <row r="1017" spans="1:10" ht="12.75">
      <c r="A1017" s="158">
        <f t="shared" si="56"/>
        <v>942</v>
      </c>
      <c r="B1017" s="15"/>
      <c r="C1017" s="120" t="s">
        <v>312</v>
      </c>
      <c r="D1017" s="25"/>
      <c r="E1017" s="46"/>
      <c r="F1017" s="138">
        <v>6000</v>
      </c>
      <c r="G1017" s="138">
        <v>6000</v>
      </c>
      <c r="H1017" s="138">
        <v>6000</v>
      </c>
      <c r="I1017" s="203">
        <f t="shared" si="58"/>
        <v>1</v>
      </c>
      <c r="J1017" s="203">
        <f t="shared" si="57"/>
        <v>0.00013051832568655467</v>
      </c>
    </row>
    <row r="1018" spans="1:10" ht="12.75">
      <c r="A1018" s="158"/>
      <c r="B1018" s="15"/>
      <c r="C1018" s="120"/>
      <c r="D1018" s="25"/>
      <c r="E1018" s="46"/>
      <c r="F1018" s="138"/>
      <c r="G1018" s="138"/>
      <c r="H1018" s="138"/>
      <c r="I1018" s="203"/>
      <c r="J1018" s="203"/>
    </row>
    <row r="1019" spans="1:10" ht="12.75">
      <c r="A1019" s="158"/>
      <c r="B1019" s="15"/>
      <c r="C1019" s="120"/>
      <c r="D1019" s="25"/>
      <c r="E1019" s="46"/>
      <c r="F1019" s="138"/>
      <c r="G1019" s="138"/>
      <c r="H1019" s="138"/>
      <c r="I1019" s="203"/>
      <c r="J1019" s="203"/>
    </row>
    <row r="1020" spans="1:10" ht="12.75">
      <c r="A1020" s="158">
        <f>A1017+1</f>
        <v>943</v>
      </c>
      <c r="B1020" s="62">
        <v>85228</v>
      </c>
      <c r="C1020" s="68" t="s">
        <v>113</v>
      </c>
      <c r="D1020" s="25"/>
      <c r="E1020" s="46"/>
      <c r="F1020" s="138"/>
      <c r="G1020" s="138"/>
      <c r="H1020" s="138"/>
      <c r="I1020" s="203"/>
      <c r="J1020" s="203"/>
    </row>
    <row r="1021" spans="1:10" ht="12.75">
      <c r="A1021" s="158">
        <f t="shared" si="56"/>
        <v>944</v>
      </c>
      <c r="B1021" s="62"/>
      <c r="C1021" s="68" t="s">
        <v>114</v>
      </c>
      <c r="D1021" s="25"/>
      <c r="E1021" s="46"/>
      <c r="F1021" s="148">
        <f>F1022+F1023+F1027+F1028+F1032+F1036+F1037</f>
        <v>270950</v>
      </c>
      <c r="G1021" s="148">
        <f>G1022+G1023+G1027+G1028+G1032+G1036+G1037</f>
        <v>269350.77</v>
      </c>
      <c r="H1021" s="148">
        <f>H1022+H1023+H1027+H1028+H1032+H1036+H1037</f>
        <v>289650</v>
      </c>
      <c r="I1021" s="222">
        <f t="shared" si="58"/>
        <v>1.0753635491741864</v>
      </c>
      <c r="J1021" s="203">
        <f t="shared" si="57"/>
        <v>0.006300772172518427</v>
      </c>
    </row>
    <row r="1022" spans="1:10" ht="12.75">
      <c r="A1022" s="158">
        <f t="shared" si="56"/>
        <v>945</v>
      </c>
      <c r="B1022" s="4">
        <v>3020</v>
      </c>
      <c r="C1022" s="79" t="s">
        <v>238</v>
      </c>
      <c r="D1022" s="25"/>
      <c r="E1022" s="46"/>
      <c r="F1022" s="138">
        <v>3200</v>
      </c>
      <c r="G1022" s="138">
        <v>3200</v>
      </c>
      <c r="H1022" s="138">
        <v>3600</v>
      </c>
      <c r="I1022" s="203">
        <f t="shared" si="58"/>
        <v>1.125</v>
      </c>
      <c r="J1022" s="203">
        <f t="shared" si="57"/>
        <v>7.83109954119328E-05</v>
      </c>
    </row>
    <row r="1023" spans="1:10" ht="12.75">
      <c r="A1023" s="158">
        <f t="shared" si="56"/>
        <v>946</v>
      </c>
      <c r="B1023" s="4">
        <v>4010</v>
      </c>
      <c r="C1023" s="79" t="s">
        <v>27</v>
      </c>
      <c r="D1023" s="25"/>
      <c r="E1023" s="46"/>
      <c r="F1023" s="138">
        <v>203800</v>
      </c>
      <c r="G1023" s="138">
        <v>203800</v>
      </c>
      <c r="H1023" s="138">
        <v>221000</v>
      </c>
      <c r="I1023" s="203">
        <f t="shared" si="58"/>
        <v>1.084396467124632</v>
      </c>
      <c r="J1023" s="203">
        <f t="shared" si="57"/>
        <v>0.00480742499612143</v>
      </c>
    </row>
    <row r="1024" spans="1:10" ht="12.75">
      <c r="A1024" s="158">
        <f t="shared" si="56"/>
        <v>947</v>
      </c>
      <c r="B1024" s="4"/>
      <c r="C1024" s="79" t="s">
        <v>15</v>
      </c>
      <c r="D1024" s="25"/>
      <c r="E1024" s="46"/>
      <c r="F1024" s="138"/>
      <c r="G1024" s="138"/>
      <c r="H1024" s="138"/>
      <c r="I1024" s="203"/>
      <c r="J1024" s="203"/>
    </row>
    <row r="1025" spans="1:10" ht="12.75">
      <c r="A1025" s="158">
        <f t="shared" si="56"/>
        <v>948</v>
      </c>
      <c r="B1025" s="4"/>
      <c r="C1025" s="79" t="s">
        <v>52</v>
      </c>
      <c r="D1025" s="25"/>
      <c r="E1025" s="46"/>
      <c r="F1025" s="138">
        <v>0</v>
      </c>
      <c r="G1025" s="138">
        <v>0</v>
      </c>
      <c r="H1025" s="138">
        <v>31780</v>
      </c>
      <c r="I1025" s="203"/>
      <c r="J1025" s="203"/>
    </row>
    <row r="1026" spans="1:10" ht="12.75">
      <c r="A1026" s="158">
        <f t="shared" si="56"/>
        <v>949</v>
      </c>
      <c r="B1026" s="4"/>
      <c r="C1026" s="79" t="s">
        <v>53</v>
      </c>
      <c r="D1026" s="25"/>
      <c r="E1026" s="46"/>
      <c r="F1026" s="138">
        <v>203800</v>
      </c>
      <c r="G1026" s="138">
        <v>203800</v>
      </c>
      <c r="H1026" s="138">
        <f>H1023-H1025</f>
        <v>189220</v>
      </c>
      <c r="I1026" s="203"/>
      <c r="J1026" s="203"/>
    </row>
    <row r="1027" spans="1:10" ht="12.75">
      <c r="A1027" s="158">
        <f t="shared" si="56"/>
        <v>950</v>
      </c>
      <c r="B1027" s="4">
        <v>4040</v>
      </c>
      <c r="C1027" s="79" t="s">
        <v>28</v>
      </c>
      <c r="D1027" s="25"/>
      <c r="E1027" s="46"/>
      <c r="F1027" s="138">
        <v>14400</v>
      </c>
      <c r="G1027" s="138">
        <v>12800.77</v>
      </c>
      <c r="H1027" s="138">
        <v>16200</v>
      </c>
      <c r="I1027" s="203">
        <f t="shared" si="58"/>
        <v>1.2655488693258297</v>
      </c>
      <c r="J1027" s="203">
        <f t="shared" si="57"/>
        <v>0.0003523994793536976</v>
      </c>
    </row>
    <row r="1028" spans="1:10" ht="12.75">
      <c r="A1028" s="158">
        <f t="shared" si="56"/>
        <v>951</v>
      </c>
      <c r="B1028" s="4">
        <v>4110</v>
      </c>
      <c r="C1028" s="79" t="s">
        <v>32</v>
      </c>
      <c r="D1028" s="25"/>
      <c r="E1028" s="46"/>
      <c r="F1028" s="138">
        <v>38700</v>
      </c>
      <c r="G1028" s="138">
        <v>38700</v>
      </c>
      <c r="H1028" s="138">
        <v>36400</v>
      </c>
      <c r="I1028" s="203">
        <f t="shared" si="58"/>
        <v>0.9405684754521964</v>
      </c>
      <c r="J1028" s="203">
        <f t="shared" si="57"/>
        <v>0.000791811175831765</v>
      </c>
    </row>
    <row r="1029" spans="1:10" ht="12.75">
      <c r="A1029" s="158">
        <f t="shared" si="56"/>
        <v>952</v>
      </c>
      <c r="B1029" s="4"/>
      <c r="C1029" s="79" t="s">
        <v>15</v>
      </c>
      <c r="D1029" s="25"/>
      <c r="E1029" s="46"/>
      <c r="F1029" s="138"/>
      <c r="G1029" s="138"/>
      <c r="H1029" s="138"/>
      <c r="I1029" s="203"/>
      <c r="J1029" s="203"/>
    </row>
    <row r="1030" spans="1:10" ht="12.75">
      <c r="A1030" s="158">
        <f t="shared" si="56"/>
        <v>953</v>
      </c>
      <c r="B1030" s="4"/>
      <c r="C1030" s="79" t="s">
        <v>52</v>
      </c>
      <c r="D1030" s="25"/>
      <c r="E1030" s="46"/>
      <c r="F1030" s="138">
        <v>0</v>
      </c>
      <c r="G1030" s="138">
        <v>0</v>
      </c>
      <c r="H1030" s="138">
        <v>5441</v>
      </c>
      <c r="I1030" s="203"/>
      <c r="J1030" s="203"/>
    </row>
    <row r="1031" spans="1:10" ht="12.75">
      <c r="A1031" s="158">
        <f t="shared" si="56"/>
        <v>954</v>
      </c>
      <c r="B1031" s="4"/>
      <c r="C1031" s="79" t="s">
        <v>53</v>
      </c>
      <c r="D1031" s="25"/>
      <c r="E1031" s="46"/>
      <c r="F1031" s="138">
        <v>38700</v>
      </c>
      <c r="G1031" s="138">
        <v>38700</v>
      </c>
      <c r="H1031" s="138">
        <f>H1028-H1030</f>
        <v>30959</v>
      </c>
      <c r="I1031" s="203"/>
      <c r="J1031" s="203"/>
    </row>
    <row r="1032" spans="1:10" ht="12.75">
      <c r="A1032" s="158">
        <f t="shared" si="56"/>
        <v>955</v>
      </c>
      <c r="B1032" s="4">
        <v>4120</v>
      </c>
      <c r="C1032" s="79" t="s">
        <v>33</v>
      </c>
      <c r="D1032" s="25"/>
      <c r="E1032" s="46"/>
      <c r="F1032" s="138">
        <v>4600</v>
      </c>
      <c r="G1032" s="138">
        <v>4600</v>
      </c>
      <c r="H1032" s="138">
        <v>5500</v>
      </c>
      <c r="I1032" s="203">
        <f t="shared" si="58"/>
        <v>1.1956521739130435</v>
      </c>
      <c r="J1032" s="203">
        <f t="shared" si="57"/>
        <v>0.00011964179854600845</v>
      </c>
    </row>
    <row r="1033" spans="1:10" ht="12.75">
      <c r="A1033" s="158">
        <f t="shared" si="56"/>
        <v>956</v>
      </c>
      <c r="B1033" s="4"/>
      <c r="C1033" s="79" t="s">
        <v>15</v>
      </c>
      <c r="D1033" s="25"/>
      <c r="E1033" s="46"/>
      <c r="F1033" s="138"/>
      <c r="G1033" s="138"/>
      <c r="H1033" s="138"/>
      <c r="I1033" s="203"/>
      <c r="J1033" s="203"/>
    </row>
    <row r="1034" spans="1:10" ht="12.75">
      <c r="A1034" s="158">
        <f t="shared" si="56"/>
        <v>957</v>
      </c>
      <c r="B1034" s="4"/>
      <c r="C1034" s="79" t="s">
        <v>52</v>
      </c>
      <c r="D1034" s="25"/>
      <c r="E1034" s="46"/>
      <c r="F1034" s="138">
        <v>0</v>
      </c>
      <c r="G1034" s="138">
        <v>0</v>
      </c>
      <c r="H1034" s="138">
        <v>779</v>
      </c>
      <c r="I1034" s="203"/>
      <c r="J1034" s="203"/>
    </row>
    <row r="1035" spans="1:10" ht="12.75">
      <c r="A1035" s="158">
        <f t="shared" si="56"/>
        <v>958</v>
      </c>
      <c r="B1035" s="4"/>
      <c r="C1035" s="79" t="s">
        <v>53</v>
      </c>
      <c r="D1035" s="25"/>
      <c r="E1035" s="46"/>
      <c r="F1035" s="138">
        <v>4600</v>
      </c>
      <c r="G1035" s="138">
        <v>4600</v>
      </c>
      <c r="H1035" s="138">
        <f>H1032-H1034</f>
        <v>4721</v>
      </c>
      <c r="I1035" s="203"/>
      <c r="J1035" s="203"/>
    </row>
    <row r="1036" spans="1:10" ht="12.75">
      <c r="A1036" s="158">
        <f t="shared" si="56"/>
        <v>959</v>
      </c>
      <c r="B1036" s="4">
        <v>4430</v>
      </c>
      <c r="C1036" s="79" t="s">
        <v>40</v>
      </c>
      <c r="D1036" s="25"/>
      <c r="E1036" s="46"/>
      <c r="F1036" s="138">
        <v>500</v>
      </c>
      <c r="G1036" s="138">
        <v>500</v>
      </c>
      <c r="H1036" s="138">
        <v>500</v>
      </c>
      <c r="I1036" s="203">
        <f t="shared" si="58"/>
        <v>1</v>
      </c>
      <c r="J1036" s="203">
        <f t="shared" si="57"/>
        <v>1.0876527140546222E-05</v>
      </c>
    </row>
    <row r="1037" spans="1:10" ht="12.75">
      <c r="A1037" s="158">
        <f t="shared" si="56"/>
        <v>960</v>
      </c>
      <c r="B1037" s="4">
        <v>4440</v>
      </c>
      <c r="C1037" s="79" t="s">
        <v>50</v>
      </c>
      <c r="D1037" s="25"/>
      <c r="E1037" s="46"/>
      <c r="F1037" s="138">
        <v>5750</v>
      </c>
      <c r="G1037" s="138">
        <v>5750</v>
      </c>
      <c r="H1037" s="138">
        <v>6450</v>
      </c>
      <c r="I1037" s="203">
        <f t="shared" si="58"/>
        <v>1.1217391304347826</v>
      </c>
      <c r="J1037" s="203">
        <f t="shared" si="57"/>
        <v>0.00014030720011304627</v>
      </c>
    </row>
    <row r="1038" spans="1:10" ht="12.75">
      <c r="A1038" s="158">
        <f t="shared" si="56"/>
        <v>961</v>
      </c>
      <c r="B1038" s="62">
        <v>85295</v>
      </c>
      <c r="C1038" s="68" t="s">
        <v>25</v>
      </c>
      <c r="D1038" s="25"/>
      <c r="E1038" s="46"/>
      <c r="F1038" s="148">
        <f>F1039+F1044+F1045+F1046+F1047+F1049</f>
        <v>232000</v>
      </c>
      <c r="G1038" s="148">
        <f>G1039+G1044+G1045+G1046+G1047+G1049</f>
        <v>232000</v>
      </c>
      <c r="H1038" s="148">
        <f>H1039+H1044+H1045+H1046+H1047+H1049</f>
        <v>155200</v>
      </c>
      <c r="I1038" s="203">
        <f t="shared" si="58"/>
        <v>0.6689655172413793</v>
      </c>
      <c r="J1038" s="203">
        <f t="shared" si="57"/>
        <v>0.0033760740244255477</v>
      </c>
    </row>
    <row r="1039" spans="1:10" ht="12.75">
      <c r="A1039" s="158">
        <f t="shared" si="56"/>
        <v>962</v>
      </c>
      <c r="B1039" s="4">
        <v>3110</v>
      </c>
      <c r="C1039" s="79" t="s">
        <v>51</v>
      </c>
      <c r="D1039" s="25"/>
      <c r="E1039" s="46"/>
      <c r="F1039" s="138">
        <f>SUM(F1041:F1043)</f>
        <v>217000</v>
      </c>
      <c r="G1039" s="138">
        <f>SUM(G1041:G1043)</f>
        <v>217000</v>
      </c>
      <c r="H1039" s="138">
        <f>SUM(H1041:H1043)</f>
        <v>155200</v>
      </c>
      <c r="I1039" s="203">
        <f t="shared" si="58"/>
        <v>0.7152073732718894</v>
      </c>
      <c r="J1039" s="203">
        <f t="shared" si="57"/>
        <v>0.0033760740244255477</v>
      </c>
    </row>
    <row r="1040" spans="1:10" ht="12.75">
      <c r="A1040" s="158">
        <f t="shared" si="56"/>
        <v>963</v>
      </c>
      <c r="B1040" s="4"/>
      <c r="C1040" s="79" t="s">
        <v>15</v>
      </c>
      <c r="D1040" s="25"/>
      <c r="E1040" s="46"/>
      <c r="F1040" s="138"/>
      <c r="G1040" s="138"/>
      <c r="H1040" s="138"/>
      <c r="I1040" s="203"/>
      <c r="J1040" s="203"/>
    </row>
    <row r="1041" spans="1:10" ht="12.75">
      <c r="A1041" s="158">
        <f t="shared" si="56"/>
        <v>964</v>
      </c>
      <c r="B1041" s="4"/>
      <c r="C1041" s="79" t="s">
        <v>321</v>
      </c>
      <c r="D1041" s="25"/>
      <c r="E1041" s="46"/>
      <c r="F1041" s="138">
        <v>120000</v>
      </c>
      <c r="G1041" s="138">
        <v>120000</v>
      </c>
      <c r="H1041" s="138">
        <v>56000</v>
      </c>
      <c r="I1041" s="203">
        <f t="shared" si="58"/>
        <v>0.4666666666666667</v>
      </c>
      <c r="J1041" s="203">
        <f t="shared" si="57"/>
        <v>0.001218171039741177</v>
      </c>
    </row>
    <row r="1042" spans="1:10" ht="12.75">
      <c r="A1042" s="158">
        <f t="shared" si="56"/>
        <v>965</v>
      </c>
      <c r="B1042" s="4"/>
      <c r="C1042" s="79" t="s">
        <v>322</v>
      </c>
      <c r="D1042" s="25"/>
      <c r="E1042" s="46"/>
      <c r="F1042" s="138">
        <v>80000</v>
      </c>
      <c r="G1042" s="138">
        <v>80000</v>
      </c>
      <c r="H1042" s="138">
        <v>80000</v>
      </c>
      <c r="I1042" s="203">
        <f t="shared" si="58"/>
        <v>1</v>
      </c>
      <c r="J1042" s="203">
        <f t="shared" si="57"/>
        <v>0.0017402443424873956</v>
      </c>
    </row>
    <row r="1043" spans="1:10" ht="12.75">
      <c r="A1043" s="158">
        <f t="shared" si="56"/>
        <v>966</v>
      </c>
      <c r="B1043" s="4"/>
      <c r="C1043" s="79" t="s">
        <v>323</v>
      </c>
      <c r="D1043" s="25"/>
      <c r="E1043" s="46"/>
      <c r="F1043" s="138">
        <v>17000</v>
      </c>
      <c r="G1043" s="138">
        <v>17000</v>
      </c>
      <c r="H1043" s="138">
        <v>19200</v>
      </c>
      <c r="I1043" s="203">
        <f t="shared" si="58"/>
        <v>1.1294117647058823</v>
      </c>
      <c r="J1043" s="203">
        <f t="shared" si="57"/>
        <v>0.00041765864219697497</v>
      </c>
    </row>
    <row r="1044" spans="1:10" ht="12.75">
      <c r="A1044" s="158">
        <f t="shared" si="56"/>
        <v>967</v>
      </c>
      <c r="B1044" s="4">
        <v>4170</v>
      </c>
      <c r="C1044" s="79" t="s">
        <v>231</v>
      </c>
      <c r="D1044" s="25"/>
      <c r="E1044" s="46"/>
      <c r="F1044" s="138">
        <v>4640</v>
      </c>
      <c r="G1044" s="138">
        <v>4640</v>
      </c>
      <c r="H1044" s="138">
        <v>0</v>
      </c>
      <c r="I1044" s="203">
        <f t="shared" si="58"/>
        <v>0</v>
      </c>
      <c r="J1044" s="203">
        <f t="shared" si="57"/>
        <v>0</v>
      </c>
    </row>
    <row r="1045" spans="1:10" ht="12.75">
      <c r="A1045" s="158">
        <f t="shared" si="56"/>
        <v>968</v>
      </c>
      <c r="B1045" s="4">
        <v>4210</v>
      </c>
      <c r="C1045" s="79" t="s">
        <v>136</v>
      </c>
      <c r="D1045" s="25"/>
      <c r="E1045" s="46"/>
      <c r="F1045" s="138">
        <v>6550</v>
      </c>
      <c r="G1045" s="138">
        <v>6550</v>
      </c>
      <c r="H1045" s="138">
        <v>0</v>
      </c>
      <c r="I1045" s="203">
        <f t="shared" si="58"/>
        <v>0</v>
      </c>
      <c r="J1045" s="203">
        <f t="shared" si="57"/>
        <v>0</v>
      </c>
    </row>
    <row r="1046" spans="1:10" ht="12.75">
      <c r="A1046" s="158">
        <f t="shared" si="56"/>
        <v>969</v>
      </c>
      <c r="B1046" s="4">
        <v>4300</v>
      </c>
      <c r="C1046" s="79" t="s">
        <v>134</v>
      </c>
      <c r="D1046" s="25"/>
      <c r="E1046" s="46"/>
      <c r="F1046" s="138">
        <v>3410</v>
      </c>
      <c r="G1046" s="138">
        <v>3410</v>
      </c>
      <c r="H1046" s="138">
        <v>0</v>
      </c>
      <c r="I1046" s="203">
        <f t="shared" si="58"/>
        <v>0</v>
      </c>
      <c r="J1046" s="203">
        <f t="shared" si="57"/>
        <v>0</v>
      </c>
    </row>
    <row r="1047" spans="1:10" ht="12.75">
      <c r="A1047" s="158">
        <f t="shared" si="56"/>
        <v>970</v>
      </c>
      <c r="B1047" s="4">
        <v>4430</v>
      </c>
      <c r="C1047" s="79" t="s">
        <v>40</v>
      </c>
      <c r="D1047" s="25"/>
      <c r="E1047" s="46"/>
      <c r="F1047" s="138">
        <v>200</v>
      </c>
      <c r="G1047" s="138">
        <v>200</v>
      </c>
      <c r="H1047" s="138">
        <v>0</v>
      </c>
      <c r="I1047" s="203">
        <f t="shared" si="58"/>
        <v>0</v>
      </c>
      <c r="J1047" s="203">
        <f t="shared" si="57"/>
        <v>0</v>
      </c>
    </row>
    <row r="1048" spans="1:10" ht="12.75">
      <c r="A1048" s="158">
        <f t="shared" si="56"/>
        <v>971</v>
      </c>
      <c r="B1048" s="15">
        <v>4740</v>
      </c>
      <c r="C1048" s="120" t="s">
        <v>309</v>
      </c>
      <c r="D1048" s="25"/>
      <c r="E1048" s="46"/>
      <c r="F1048" s="138"/>
      <c r="G1048" s="138"/>
      <c r="H1048" s="138"/>
      <c r="I1048" s="203"/>
      <c r="J1048" s="203"/>
    </row>
    <row r="1049" spans="1:10" ht="12.75">
      <c r="A1049" s="158">
        <f t="shared" si="56"/>
        <v>972</v>
      </c>
      <c r="B1049" s="15"/>
      <c r="C1049" s="120" t="s">
        <v>310</v>
      </c>
      <c r="D1049" s="25"/>
      <c r="E1049" s="46"/>
      <c r="F1049" s="138">
        <v>200</v>
      </c>
      <c r="G1049" s="138">
        <v>200</v>
      </c>
      <c r="H1049" s="138">
        <v>0</v>
      </c>
      <c r="I1049" s="203"/>
      <c r="J1049" s="203"/>
    </row>
    <row r="1050" spans="1:10" s="70" customFormat="1" ht="12.75" customHeight="1">
      <c r="A1050" s="158">
        <f t="shared" si="56"/>
        <v>973</v>
      </c>
      <c r="B1050" s="56">
        <v>854</v>
      </c>
      <c r="C1050" s="78" t="s">
        <v>115</v>
      </c>
      <c r="D1050" s="58"/>
      <c r="E1050" s="59" t="e">
        <f>E1051+#REF!+E1074+E1107+#REF!</f>
        <v>#REF!</v>
      </c>
      <c r="F1050" s="58">
        <f>F1051+F1074+F1155+F1164+F1186</f>
        <v>325571</v>
      </c>
      <c r="G1050" s="58">
        <f>G1051+G1074+G1155+G1164+G1186</f>
        <v>259071.72000000003</v>
      </c>
      <c r="H1050" s="58">
        <f>H1051+H1074+H1155+H1164+H1186</f>
        <v>254737</v>
      </c>
      <c r="I1050" s="222">
        <f t="shared" si="58"/>
        <v>0.9832682625490732</v>
      </c>
      <c r="J1050" s="203">
        <f>H1050/$H$1363</f>
        <v>0.005541307788402647</v>
      </c>
    </row>
    <row r="1051" spans="1:10" ht="12.75">
      <c r="A1051" s="158">
        <f t="shared" si="56"/>
        <v>974</v>
      </c>
      <c r="B1051" s="10">
        <v>85401</v>
      </c>
      <c r="C1051" s="68" t="s">
        <v>116</v>
      </c>
      <c r="D1051" s="25"/>
      <c r="E1051" s="44">
        <f>E1052+E1056+E1060+E1064+E1068</f>
        <v>120000</v>
      </c>
      <c r="F1051" s="26">
        <f>F1052+F1056+F1060++F1064+++F1068</f>
        <v>163870</v>
      </c>
      <c r="G1051" s="26">
        <f>G1052+G1056+G1060++G1064+++G1068</f>
        <v>163780.03</v>
      </c>
      <c r="H1051" s="26">
        <f>H1052+H1056+H1060++H1064+++H1068</f>
        <v>183275</v>
      </c>
      <c r="I1051" s="203">
        <f t="shared" si="58"/>
        <v>1.1190314228175438</v>
      </c>
      <c r="J1051" s="203">
        <f>H1051/$H$1363</f>
        <v>0.003986791023367218</v>
      </c>
    </row>
    <row r="1052" spans="1:10" ht="12.75">
      <c r="A1052" s="158">
        <f t="shared" si="56"/>
        <v>975</v>
      </c>
      <c r="B1052" s="4">
        <v>4010</v>
      </c>
      <c r="C1052" s="79" t="s">
        <v>27</v>
      </c>
      <c r="D1052" s="25"/>
      <c r="E1052" s="47">
        <f>SUM(E1054:E1055)</f>
        <v>88000</v>
      </c>
      <c r="F1052" s="23">
        <f>SUM(F1054:F1055)</f>
        <v>124865</v>
      </c>
      <c r="G1052" s="23">
        <f>SUM(G1054:G1055)</f>
        <v>124865</v>
      </c>
      <c r="H1052" s="23">
        <f>SUM(H1054:H1055)</f>
        <v>137500</v>
      </c>
      <c r="I1052" s="203">
        <f t="shared" si="58"/>
        <v>1.1011892844271813</v>
      </c>
      <c r="J1052" s="203">
        <f>H1052/$H$1363</f>
        <v>0.0029910449636502113</v>
      </c>
    </row>
    <row r="1053" spans="1:10" ht="12.75">
      <c r="A1053" s="158">
        <f t="shared" si="56"/>
        <v>976</v>
      </c>
      <c r="B1053" s="4"/>
      <c r="C1053" s="79" t="s">
        <v>15</v>
      </c>
      <c r="D1053" s="25"/>
      <c r="E1053" s="46"/>
      <c r="F1053" s="138"/>
      <c r="G1053" s="138"/>
      <c r="H1053" s="138"/>
      <c r="I1053" s="203"/>
      <c r="J1053" s="203"/>
    </row>
    <row r="1054" spans="1:10" ht="12.75">
      <c r="A1054" s="158">
        <f t="shared" si="56"/>
        <v>977</v>
      </c>
      <c r="B1054" s="4"/>
      <c r="C1054" s="79" t="s">
        <v>147</v>
      </c>
      <c r="D1054" s="25"/>
      <c r="E1054" s="46">
        <f>42800-4800</f>
        <v>38000</v>
      </c>
      <c r="F1054" s="138">
        <v>43805</v>
      </c>
      <c r="G1054" s="138">
        <v>43805</v>
      </c>
      <c r="H1054" s="138">
        <v>48200</v>
      </c>
      <c r="I1054" s="203">
        <f t="shared" si="58"/>
        <v>1.1003310124415022</v>
      </c>
      <c r="J1054" s="203">
        <f>H1054/$H$1363</f>
        <v>0.0010484972163486558</v>
      </c>
    </row>
    <row r="1055" spans="1:10" ht="12.75">
      <c r="A1055" s="158">
        <f t="shared" si="56"/>
        <v>978</v>
      </c>
      <c r="B1055" s="4"/>
      <c r="C1055" s="79" t="s">
        <v>47</v>
      </c>
      <c r="D1055" s="25"/>
      <c r="E1055" s="46">
        <v>50000</v>
      </c>
      <c r="F1055" s="138">
        <v>81060</v>
      </c>
      <c r="G1055" s="138">
        <v>81060</v>
      </c>
      <c r="H1055" s="138">
        <v>89300</v>
      </c>
      <c r="I1055" s="203">
        <f t="shared" si="58"/>
        <v>1.1016530964717492</v>
      </c>
      <c r="J1055" s="203">
        <f>H1055/$H$1363</f>
        <v>0.0019425477473015555</v>
      </c>
    </row>
    <row r="1056" spans="1:10" ht="12.75">
      <c r="A1056" s="158">
        <f t="shared" si="56"/>
        <v>979</v>
      </c>
      <c r="B1056" s="4">
        <v>4040</v>
      </c>
      <c r="C1056" s="79" t="s">
        <v>28</v>
      </c>
      <c r="D1056" s="25"/>
      <c r="E1056" s="47">
        <f>SUM(E1058:E1059)</f>
        <v>6900</v>
      </c>
      <c r="F1056" s="23">
        <f>SUM(F1058:F1059)</f>
        <v>7400</v>
      </c>
      <c r="G1056" s="23">
        <f>SUM(G1058:G1059)</f>
        <v>7310.030000000001</v>
      </c>
      <c r="H1056" s="23">
        <f>SUM(H1058:H1059)</f>
        <v>10400</v>
      </c>
      <c r="I1056" s="203">
        <f t="shared" si="58"/>
        <v>1.4227027796055556</v>
      </c>
      <c r="J1056" s="203">
        <f>H1056/$H$1363</f>
        <v>0.00022623176452336144</v>
      </c>
    </row>
    <row r="1057" spans="1:10" ht="12.75">
      <c r="A1057" s="158">
        <f t="shared" si="56"/>
        <v>980</v>
      </c>
      <c r="B1057" s="4"/>
      <c r="C1057" s="79" t="s">
        <v>15</v>
      </c>
      <c r="D1057" s="25"/>
      <c r="E1057" s="46"/>
      <c r="F1057" s="138"/>
      <c r="G1057" s="138"/>
      <c r="H1057" s="138"/>
      <c r="I1057" s="203"/>
      <c r="J1057" s="203"/>
    </row>
    <row r="1058" spans="1:10" ht="12.75">
      <c r="A1058" s="158">
        <f t="shared" si="56"/>
        <v>981</v>
      </c>
      <c r="B1058" s="4"/>
      <c r="C1058" s="79" t="s">
        <v>147</v>
      </c>
      <c r="D1058" s="25"/>
      <c r="E1058" s="46">
        <v>3300</v>
      </c>
      <c r="F1058" s="138">
        <v>2850</v>
      </c>
      <c r="G1058" s="138">
        <v>2761.32</v>
      </c>
      <c r="H1058" s="138">
        <v>3400</v>
      </c>
      <c r="I1058" s="203">
        <f t="shared" si="58"/>
        <v>1.2312951776686512</v>
      </c>
      <c r="J1058" s="203">
        <f>H1058/$H$1363</f>
        <v>7.396038455571432E-05</v>
      </c>
    </row>
    <row r="1059" spans="1:10" ht="12.75">
      <c r="A1059" s="158">
        <f t="shared" si="56"/>
        <v>982</v>
      </c>
      <c r="B1059" s="4"/>
      <c r="C1059" s="79" t="s">
        <v>47</v>
      </c>
      <c r="D1059" s="25"/>
      <c r="E1059" s="46">
        <v>3600</v>
      </c>
      <c r="F1059" s="138">
        <v>4550</v>
      </c>
      <c r="G1059" s="138">
        <v>4548.71</v>
      </c>
      <c r="H1059" s="138">
        <v>7000</v>
      </c>
      <c r="I1059" s="203">
        <f t="shared" si="58"/>
        <v>1.5388978413660137</v>
      </c>
      <c r="J1059" s="203">
        <f>H1059/$H$1363</f>
        <v>0.00015227137996764713</v>
      </c>
    </row>
    <row r="1060" spans="1:10" ht="12.75">
      <c r="A1060" s="158">
        <f t="shared" si="56"/>
        <v>983</v>
      </c>
      <c r="B1060" s="4">
        <v>4110</v>
      </c>
      <c r="C1060" s="79" t="s">
        <v>32</v>
      </c>
      <c r="D1060" s="25"/>
      <c r="E1060" s="47">
        <f>SUM(E1062:E1063)</f>
        <v>17000</v>
      </c>
      <c r="F1060" s="23">
        <f>SUM(F1062:F1063)</f>
        <v>22330</v>
      </c>
      <c r="G1060" s="23">
        <f>SUM(G1062:G1063)</f>
        <v>22330</v>
      </c>
      <c r="H1060" s="23">
        <f>SUM(H1062:H1063)</f>
        <v>25500</v>
      </c>
      <c r="I1060" s="203">
        <f t="shared" si="58"/>
        <v>1.141961486789073</v>
      </c>
      <c r="J1060" s="203">
        <f>H1060/$H$1363</f>
        <v>0.0005547028841678573</v>
      </c>
    </row>
    <row r="1061" spans="1:10" ht="12.75">
      <c r="A1061" s="158">
        <f t="shared" si="56"/>
        <v>984</v>
      </c>
      <c r="B1061" s="4"/>
      <c r="C1061" s="79" t="s">
        <v>15</v>
      </c>
      <c r="D1061" s="25"/>
      <c r="E1061" s="46"/>
      <c r="F1061" s="138"/>
      <c r="G1061" s="138"/>
      <c r="H1061" s="138"/>
      <c r="I1061" s="203"/>
      <c r="J1061" s="203"/>
    </row>
    <row r="1062" spans="1:10" ht="12.75">
      <c r="A1062" s="158">
        <f t="shared" si="56"/>
        <v>985</v>
      </c>
      <c r="B1062" s="4"/>
      <c r="C1062" s="79" t="s">
        <v>147</v>
      </c>
      <c r="D1062" s="25"/>
      <c r="E1062" s="46">
        <v>7400</v>
      </c>
      <c r="F1062" s="138">
        <v>8100</v>
      </c>
      <c r="G1062" s="138">
        <v>8100</v>
      </c>
      <c r="H1062" s="138">
        <v>8900</v>
      </c>
      <c r="I1062" s="203">
        <f t="shared" si="58"/>
        <v>1.0987654320987654</v>
      </c>
      <c r="J1062" s="203">
        <f>H1062/$H$1363</f>
        <v>0.00019360218310172277</v>
      </c>
    </row>
    <row r="1063" spans="1:10" ht="12.75">
      <c r="A1063" s="158">
        <f t="shared" si="56"/>
        <v>986</v>
      </c>
      <c r="B1063" s="4"/>
      <c r="C1063" s="79" t="s">
        <v>47</v>
      </c>
      <c r="D1063" s="25"/>
      <c r="E1063" s="46">
        <v>9600</v>
      </c>
      <c r="F1063" s="138">
        <v>14230</v>
      </c>
      <c r="G1063" s="138">
        <v>14230</v>
      </c>
      <c r="H1063" s="138">
        <v>16600</v>
      </c>
      <c r="I1063" s="203">
        <f t="shared" si="58"/>
        <v>1.1665495432185524</v>
      </c>
      <c r="J1063" s="203">
        <f>H1063/$H$1363</f>
        <v>0.0003611007010661346</v>
      </c>
    </row>
    <row r="1064" spans="1:10" ht="12.75">
      <c r="A1064" s="158">
        <f t="shared" si="56"/>
        <v>987</v>
      </c>
      <c r="B1064" s="4">
        <v>4120</v>
      </c>
      <c r="C1064" s="79" t="s">
        <v>33</v>
      </c>
      <c r="D1064" s="25"/>
      <c r="E1064" s="47">
        <f>SUM(E1066:E1067)</f>
        <v>2300</v>
      </c>
      <c r="F1064" s="23">
        <f>SUM(F1066:F1067)</f>
        <v>3050</v>
      </c>
      <c r="G1064" s="23">
        <f>SUM(G1066:G1067)</f>
        <v>3050</v>
      </c>
      <c r="H1064" s="23">
        <f>SUM(H1066:H1067)</f>
        <v>3650</v>
      </c>
      <c r="I1064" s="203">
        <f t="shared" si="58"/>
        <v>1.1967213114754098</v>
      </c>
      <c r="J1064" s="203">
        <f>H1064/$H$1363</f>
        <v>7.939864812598742E-05</v>
      </c>
    </row>
    <row r="1065" spans="1:10" ht="12.75">
      <c r="A1065" s="158">
        <f t="shared" si="56"/>
        <v>988</v>
      </c>
      <c r="B1065" s="4"/>
      <c r="C1065" s="79" t="s">
        <v>15</v>
      </c>
      <c r="D1065" s="25"/>
      <c r="E1065" s="46"/>
      <c r="F1065" s="138"/>
      <c r="G1065" s="138"/>
      <c r="H1065" s="138"/>
      <c r="I1065" s="203"/>
      <c r="J1065" s="203"/>
    </row>
    <row r="1066" spans="1:10" ht="12.75">
      <c r="A1066" s="158">
        <f t="shared" si="56"/>
        <v>989</v>
      </c>
      <c r="B1066" s="4"/>
      <c r="C1066" s="79" t="s">
        <v>147</v>
      </c>
      <c r="D1066" s="25"/>
      <c r="E1066" s="46">
        <v>1000</v>
      </c>
      <c r="F1066" s="138">
        <v>1150</v>
      </c>
      <c r="G1066" s="138">
        <v>1150</v>
      </c>
      <c r="H1066" s="138">
        <v>1300</v>
      </c>
      <c r="I1066" s="203">
        <f t="shared" si="58"/>
        <v>1.1304347826086956</v>
      </c>
      <c r="J1066" s="203">
        <f>H1066/$H$1363</f>
        <v>2.827897056542018E-05</v>
      </c>
    </row>
    <row r="1067" spans="1:10" ht="12.75">
      <c r="A1067" s="158">
        <f t="shared" si="56"/>
        <v>990</v>
      </c>
      <c r="B1067" s="4"/>
      <c r="C1067" s="79" t="s">
        <v>47</v>
      </c>
      <c r="D1067" s="25"/>
      <c r="E1067" s="46">
        <v>1300</v>
      </c>
      <c r="F1067" s="138">
        <v>1900</v>
      </c>
      <c r="G1067" s="138">
        <v>1900</v>
      </c>
      <c r="H1067" s="138">
        <v>2350</v>
      </c>
      <c r="I1067" s="203">
        <f t="shared" si="58"/>
        <v>1.236842105263158</v>
      </c>
      <c r="J1067" s="203">
        <f>H1067/$H$1363</f>
        <v>5.1119677560567246E-05</v>
      </c>
    </row>
    <row r="1068" spans="1:10" ht="12.75">
      <c r="A1068" s="158">
        <f t="shared" si="56"/>
        <v>991</v>
      </c>
      <c r="B1068" s="4">
        <v>4440</v>
      </c>
      <c r="C1068" s="79" t="s">
        <v>679</v>
      </c>
      <c r="D1068" s="25"/>
      <c r="E1068" s="47">
        <f>SUM(E1070:E1071)</f>
        <v>5800</v>
      </c>
      <c r="F1068" s="23">
        <f>SUM(F1070:F1071)</f>
        <v>6225</v>
      </c>
      <c r="G1068" s="23">
        <f>SUM(G1070:G1071)</f>
        <v>6225</v>
      </c>
      <c r="H1068" s="23">
        <f>SUM(H1070:H1071)</f>
        <v>6225</v>
      </c>
      <c r="I1068" s="203">
        <f t="shared" si="58"/>
        <v>1</v>
      </c>
      <c r="J1068" s="203">
        <f>H1068/$H$1363</f>
        <v>0.00013541276289980047</v>
      </c>
    </row>
    <row r="1069" spans="1:10" ht="12.75">
      <c r="A1069" s="158">
        <f t="shared" si="56"/>
        <v>992</v>
      </c>
      <c r="B1069" s="4"/>
      <c r="C1069" s="79" t="s">
        <v>15</v>
      </c>
      <c r="D1069" s="25"/>
      <c r="E1069" s="46"/>
      <c r="F1069" s="138"/>
      <c r="G1069" s="138"/>
      <c r="H1069" s="138"/>
      <c r="I1069" s="203"/>
      <c r="J1069" s="203"/>
    </row>
    <row r="1070" spans="1:10" ht="12.75">
      <c r="A1070" s="158">
        <f t="shared" si="56"/>
        <v>993</v>
      </c>
      <c r="B1070" s="4"/>
      <c r="C1070" s="79" t="s">
        <v>147</v>
      </c>
      <c r="D1070" s="25"/>
      <c r="E1070" s="46">
        <v>2500</v>
      </c>
      <c r="F1070" s="138">
        <v>2075</v>
      </c>
      <c r="G1070" s="138">
        <v>2075</v>
      </c>
      <c r="H1070" s="138">
        <v>2075</v>
      </c>
      <c r="I1070" s="203">
        <f t="shared" si="58"/>
        <v>1</v>
      </c>
      <c r="J1070" s="203">
        <f>H1070/$H$1363</f>
        <v>4.5137587633266826E-05</v>
      </c>
    </row>
    <row r="1071" spans="1:10" ht="12.75">
      <c r="A1071" s="158">
        <f t="shared" si="56"/>
        <v>994</v>
      </c>
      <c r="B1071" s="4"/>
      <c r="C1071" s="79" t="s">
        <v>47</v>
      </c>
      <c r="D1071" s="25"/>
      <c r="E1071" s="46">
        <v>3300</v>
      </c>
      <c r="F1071" s="138">
        <v>4150</v>
      </c>
      <c r="G1071" s="138">
        <v>4150</v>
      </c>
      <c r="H1071" s="138">
        <v>4150</v>
      </c>
      <c r="I1071" s="203">
        <f t="shared" si="58"/>
        <v>1</v>
      </c>
      <c r="J1071" s="203">
        <f>H1071/$H$1363</f>
        <v>9.027517526653365E-05</v>
      </c>
    </row>
    <row r="1072" spans="1:10" s="29" customFormat="1" ht="12.75">
      <c r="A1072" s="158">
        <f t="shared" si="56"/>
        <v>995</v>
      </c>
      <c r="B1072" s="11">
        <v>85412</v>
      </c>
      <c r="C1072" s="68" t="s">
        <v>117</v>
      </c>
      <c r="D1072" s="26"/>
      <c r="E1072" s="44"/>
      <c r="F1072" s="153"/>
      <c r="G1072" s="153"/>
      <c r="H1072" s="153"/>
      <c r="I1072" s="203"/>
      <c r="J1072" s="203"/>
    </row>
    <row r="1073" spans="1:10" s="29" customFormat="1" ht="12.75">
      <c r="A1073" s="158">
        <f t="shared" si="56"/>
        <v>996</v>
      </c>
      <c r="B1073" s="11"/>
      <c r="C1073" s="68" t="s">
        <v>118</v>
      </c>
      <c r="D1073" s="26"/>
      <c r="E1073" s="44"/>
      <c r="F1073" s="153"/>
      <c r="G1073" s="153"/>
      <c r="H1073" s="153"/>
      <c r="I1073" s="203"/>
      <c r="J1073" s="203"/>
    </row>
    <row r="1074" spans="1:10" s="29" customFormat="1" ht="12.75">
      <c r="A1074" s="158">
        <f t="shared" si="56"/>
        <v>997</v>
      </c>
      <c r="B1074" s="11"/>
      <c r="C1074" s="68" t="s">
        <v>230</v>
      </c>
      <c r="D1074" s="26"/>
      <c r="E1074" s="44" t="e">
        <f>#REF!+E1080+E1084+E1092+E1097+#REF!+E1102+#REF!</f>
        <v>#REF!</v>
      </c>
      <c r="F1074" s="26">
        <f>F1075+F1080+F1084++F1088+F1092+F1097+F1102+F1154</f>
        <v>36561</v>
      </c>
      <c r="G1074" s="26">
        <f>G1075+G1080+G1084++G1088+G1092+G1097+G1102+G1154</f>
        <v>36469.229999999996</v>
      </c>
      <c r="H1074" s="26">
        <f>H1075+H1080+H1084++H1088+H1092+H1097+H1102+H1154</f>
        <v>7500</v>
      </c>
      <c r="I1074" s="222">
        <f t="shared" si="58"/>
        <v>0.20565282019938455</v>
      </c>
      <c r="J1074" s="203">
        <f>H1074/$H$1363</f>
        <v>0.00016314790710819334</v>
      </c>
    </row>
    <row r="1075" spans="1:10" s="60" customFormat="1" ht="12.75">
      <c r="A1075" s="158">
        <f aca="true" t="shared" si="59" ref="A1075:A1140">A1074+1</f>
        <v>998</v>
      </c>
      <c r="B1075" s="85">
        <v>4010</v>
      </c>
      <c r="C1075" s="79" t="s">
        <v>27</v>
      </c>
      <c r="D1075" s="84"/>
      <c r="E1075" s="82"/>
      <c r="F1075" s="144">
        <f>F1077</f>
        <v>4583</v>
      </c>
      <c r="G1075" s="144">
        <f>G1077</f>
        <v>4583</v>
      </c>
      <c r="H1075" s="144">
        <f>H1077</f>
        <v>0</v>
      </c>
      <c r="I1075" s="203">
        <f t="shared" si="58"/>
        <v>0</v>
      </c>
      <c r="J1075" s="203">
        <f>H1075/$H$1363</f>
        <v>0</v>
      </c>
    </row>
    <row r="1076" spans="1:10" s="29" customFormat="1" ht="12.75">
      <c r="A1076" s="158">
        <f t="shared" si="59"/>
        <v>999</v>
      </c>
      <c r="B1076" s="11"/>
      <c r="C1076" s="79" t="s">
        <v>15</v>
      </c>
      <c r="D1076" s="26"/>
      <c r="E1076" s="44"/>
      <c r="F1076" s="144"/>
      <c r="G1076" s="144"/>
      <c r="H1076" s="144"/>
      <c r="I1076" s="203"/>
      <c r="J1076" s="203"/>
    </row>
    <row r="1077" spans="1:10" s="29" customFormat="1" ht="12.75">
      <c r="A1077" s="158">
        <f t="shared" si="59"/>
        <v>1000</v>
      </c>
      <c r="B1077" s="11"/>
      <c r="C1077" s="79" t="s">
        <v>47</v>
      </c>
      <c r="D1077" s="26"/>
      <c r="E1077" s="44"/>
      <c r="F1077" s="144">
        <v>4583</v>
      </c>
      <c r="G1077" s="144">
        <v>4583</v>
      </c>
      <c r="H1077" s="144">
        <v>0</v>
      </c>
      <c r="I1077" s="203">
        <f t="shared" si="58"/>
        <v>0</v>
      </c>
      <c r="J1077" s="203">
        <f>H1077/$H$1363</f>
        <v>0</v>
      </c>
    </row>
    <row r="1078" spans="1:10" s="29" customFormat="1" ht="12.75">
      <c r="A1078" s="158"/>
      <c r="B1078" s="11"/>
      <c r="C1078" s="79"/>
      <c r="D1078" s="26"/>
      <c r="E1078" s="44"/>
      <c r="F1078" s="144"/>
      <c r="G1078" s="144"/>
      <c r="H1078" s="144"/>
      <c r="I1078" s="203"/>
      <c r="J1078" s="203"/>
    </row>
    <row r="1079" spans="1:10" s="29" customFormat="1" ht="12.75">
      <c r="A1079" s="158"/>
      <c r="B1079" s="11"/>
      <c r="C1079" s="79"/>
      <c r="D1079" s="26"/>
      <c r="E1079" s="44"/>
      <c r="F1079" s="144"/>
      <c r="G1079" s="144"/>
      <c r="H1079" s="144"/>
      <c r="I1079" s="203"/>
      <c r="J1079" s="203"/>
    </row>
    <row r="1080" spans="1:10" s="29" customFormat="1" ht="12.75">
      <c r="A1080" s="158">
        <f>A1077+1</f>
        <v>1001</v>
      </c>
      <c r="B1080" s="4">
        <v>4110</v>
      </c>
      <c r="C1080" s="79" t="s">
        <v>32</v>
      </c>
      <c r="D1080" s="26"/>
      <c r="E1080" s="82">
        <f>E1082</f>
        <v>1500</v>
      </c>
      <c r="F1080" s="84">
        <f>SUM(F1082:F1083)</f>
        <v>790</v>
      </c>
      <c r="G1080" s="84">
        <f>SUM(G1082:G1083)</f>
        <v>790</v>
      </c>
      <c r="H1080" s="84">
        <f>SUM(H1082:H1083)</f>
        <v>0</v>
      </c>
      <c r="I1080" s="203">
        <f t="shared" si="58"/>
        <v>0</v>
      </c>
      <c r="J1080" s="203">
        <f>H1080/$H$1363</f>
        <v>0</v>
      </c>
    </row>
    <row r="1081" spans="1:10" s="29" customFormat="1" ht="12.75">
      <c r="A1081" s="158">
        <f t="shared" si="59"/>
        <v>1002</v>
      </c>
      <c r="B1081" s="4"/>
      <c r="C1081" s="79" t="s">
        <v>15</v>
      </c>
      <c r="D1081" s="26"/>
      <c r="E1081" s="82"/>
      <c r="F1081" s="144"/>
      <c r="G1081" s="144"/>
      <c r="H1081" s="144"/>
      <c r="I1081" s="203"/>
      <c r="J1081" s="203"/>
    </row>
    <row r="1082" spans="1:10" s="29" customFormat="1" ht="12.75">
      <c r="A1082" s="158">
        <f t="shared" si="59"/>
        <v>1003</v>
      </c>
      <c r="B1082" s="4"/>
      <c r="C1082" s="79" t="s">
        <v>148</v>
      </c>
      <c r="D1082" s="26"/>
      <c r="E1082" s="82">
        <v>1500</v>
      </c>
      <c r="F1082" s="144">
        <v>0</v>
      </c>
      <c r="G1082" s="144">
        <v>0</v>
      </c>
      <c r="H1082" s="144">
        <v>0</v>
      </c>
      <c r="I1082" s="203"/>
      <c r="J1082" s="203">
        <f>H1082/$H$1363</f>
        <v>0</v>
      </c>
    </row>
    <row r="1083" spans="1:10" s="29" customFormat="1" ht="12.75">
      <c r="A1083" s="158">
        <f t="shared" si="59"/>
        <v>1004</v>
      </c>
      <c r="B1083" s="4"/>
      <c r="C1083" s="79" t="s">
        <v>47</v>
      </c>
      <c r="D1083" s="26"/>
      <c r="E1083" s="82"/>
      <c r="F1083" s="144">
        <v>790</v>
      </c>
      <c r="G1083" s="144">
        <v>790</v>
      </c>
      <c r="H1083" s="144">
        <v>0</v>
      </c>
      <c r="I1083" s="203">
        <f t="shared" si="58"/>
        <v>0</v>
      </c>
      <c r="J1083" s="203">
        <f>H1083/$H$1363</f>
        <v>0</v>
      </c>
    </row>
    <row r="1084" spans="1:10" s="29" customFormat="1" ht="12.75">
      <c r="A1084" s="158">
        <f t="shared" si="59"/>
        <v>1005</v>
      </c>
      <c r="B1084" s="4">
        <v>4120</v>
      </c>
      <c r="C1084" s="79" t="s">
        <v>33</v>
      </c>
      <c r="D1084" s="26"/>
      <c r="E1084" s="82">
        <f>E1086</f>
        <v>200</v>
      </c>
      <c r="F1084" s="84">
        <f>SUM(F1086:F1087)</f>
        <v>113</v>
      </c>
      <c r="G1084" s="84">
        <f>SUM(G1086:G1087)</f>
        <v>113</v>
      </c>
      <c r="H1084" s="84">
        <f>SUM(H1086:H1087)</f>
        <v>0</v>
      </c>
      <c r="I1084" s="203">
        <f t="shared" si="58"/>
        <v>0</v>
      </c>
      <c r="J1084" s="203">
        <f>H1084/$H$1363</f>
        <v>0</v>
      </c>
    </row>
    <row r="1085" spans="1:10" s="29" customFormat="1" ht="12.75">
      <c r="A1085" s="158">
        <f t="shared" si="59"/>
        <v>1006</v>
      </c>
      <c r="B1085" s="4"/>
      <c r="C1085" s="79" t="s">
        <v>15</v>
      </c>
      <c r="D1085" s="26"/>
      <c r="E1085" s="82"/>
      <c r="F1085" s="144"/>
      <c r="G1085" s="144"/>
      <c r="H1085" s="144"/>
      <c r="I1085" s="203"/>
      <c r="J1085" s="203"/>
    </row>
    <row r="1086" spans="1:10" s="29" customFormat="1" ht="12.75">
      <c r="A1086" s="158">
        <f t="shared" si="59"/>
        <v>1007</v>
      </c>
      <c r="B1086" s="4"/>
      <c r="C1086" s="79" t="s">
        <v>148</v>
      </c>
      <c r="D1086" s="26"/>
      <c r="E1086" s="82">
        <v>200</v>
      </c>
      <c r="F1086" s="144">
        <v>0</v>
      </c>
      <c r="G1086" s="144">
        <v>0</v>
      </c>
      <c r="H1086" s="144">
        <v>0</v>
      </c>
      <c r="I1086" s="203"/>
      <c r="J1086" s="203">
        <f>H1086/$H$1363</f>
        <v>0</v>
      </c>
    </row>
    <row r="1087" spans="1:10" s="29" customFormat="1" ht="12.75">
      <c r="A1087" s="158">
        <f t="shared" si="59"/>
        <v>1008</v>
      </c>
      <c r="B1087" s="4"/>
      <c r="C1087" s="79" t="s">
        <v>47</v>
      </c>
      <c r="D1087" s="26"/>
      <c r="E1087" s="82"/>
      <c r="F1087" s="144">
        <v>113</v>
      </c>
      <c r="G1087" s="144">
        <v>113</v>
      </c>
      <c r="H1087" s="144"/>
      <c r="I1087" s="203">
        <f aca="true" t="shared" si="60" ref="I1087:I1149">H1087/G1087</f>
        <v>0</v>
      </c>
      <c r="J1087" s="203">
        <f>H1087/$H$1363</f>
        <v>0</v>
      </c>
    </row>
    <row r="1088" spans="1:10" s="29" customFormat="1" ht="12.75">
      <c r="A1088" s="158">
        <f>A1087+1</f>
        <v>1009</v>
      </c>
      <c r="B1088" s="4">
        <v>4170</v>
      </c>
      <c r="C1088" s="79" t="s">
        <v>231</v>
      </c>
      <c r="D1088" s="26"/>
      <c r="E1088" s="82"/>
      <c r="F1088" s="144">
        <f>SUM(F1090:F1091)</f>
        <v>1250</v>
      </c>
      <c r="G1088" s="144">
        <f>SUM(G1090:G1091)</f>
        <v>1200</v>
      </c>
      <c r="H1088" s="144">
        <f>SUM(H1090:H1091)</f>
        <v>0</v>
      </c>
      <c r="I1088" s="203">
        <f t="shared" si="60"/>
        <v>0</v>
      </c>
      <c r="J1088" s="203">
        <f>H1088/$H$1363</f>
        <v>0</v>
      </c>
    </row>
    <row r="1089" spans="1:10" s="29" customFormat="1" ht="12.75">
      <c r="A1089" s="158">
        <f t="shared" si="59"/>
        <v>1010</v>
      </c>
      <c r="B1089" s="4"/>
      <c r="C1089" s="79" t="s">
        <v>15</v>
      </c>
      <c r="D1089" s="26"/>
      <c r="E1089" s="82"/>
      <c r="F1089" s="144"/>
      <c r="G1089" s="144"/>
      <c r="H1089" s="144"/>
      <c r="I1089" s="203"/>
      <c r="J1089" s="203"/>
    </row>
    <row r="1090" spans="1:10" s="29" customFormat="1" ht="12.75">
      <c r="A1090" s="158">
        <f t="shared" si="59"/>
        <v>1011</v>
      </c>
      <c r="B1090" s="4"/>
      <c r="C1090" s="79" t="s">
        <v>148</v>
      </c>
      <c r="D1090" s="26"/>
      <c r="E1090" s="82"/>
      <c r="F1090" s="144">
        <v>1250</v>
      </c>
      <c r="G1090" s="144">
        <v>1200</v>
      </c>
      <c r="H1090" s="144">
        <v>0</v>
      </c>
      <c r="I1090" s="203">
        <f t="shared" si="60"/>
        <v>0</v>
      </c>
      <c r="J1090" s="203">
        <f>H1090/$H$1363</f>
        <v>0</v>
      </c>
    </row>
    <row r="1091" spans="1:10" s="29" customFormat="1" ht="12.75">
      <c r="A1091" s="158">
        <f t="shared" si="59"/>
        <v>1012</v>
      </c>
      <c r="B1091" s="4"/>
      <c r="C1091" s="79" t="s">
        <v>47</v>
      </c>
      <c r="D1091" s="26"/>
      <c r="E1091" s="82"/>
      <c r="F1091" s="144">
        <v>0</v>
      </c>
      <c r="G1091" s="144">
        <v>0</v>
      </c>
      <c r="H1091" s="144">
        <v>0</v>
      </c>
      <c r="I1091" s="203"/>
      <c r="J1091" s="203">
        <f>H1091/$H$1363</f>
        <v>0</v>
      </c>
    </row>
    <row r="1092" spans="1:10" ht="12.75">
      <c r="A1092" s="158">
        <f t="shared" si="59"/>
        <v>1013</v>
      </c>
      <c r="B1092" s="4">
        <v>4210</v>
      </c>
      <c r="C1092" s="79" t="s">
        <v>136</v>
      </c>
      <c r="D1092" s="25"/>
      <c r="E1092" s="45">
        <f>SUM(E1094)</f>
        <v>2000</v>
      </c>
      <c r="F1092" s="28">
        <f>SUM(F1094:F1096)</f>
        <v>2200</v>
      </c>
      <c r="G1092" s="28">
        <f>SUM(G1094:G1096)</f>
        <v>2161</v>
      </c>
      <c r="H1092" s="28">
        <f>SUM(H1094:H1096)</f>
        <v>1200</v>
      </c>
      <c r="I1092" s="203">
        <f t="shared" si="60"/>
        <v>0.5552984729291994</v>
      </c>
      <c r="J1092" s="203">
        <f>H1092/$H$1363</f>
        <v>2.6103665137310935E-05</v>
      </c>
    </row>
    <row r="1093" spans="1:10" ht="12.75">
      <c r="A1093" s="158">
        <f t="shared" si="59"/>
        <v>1014</v>
      </c>
      <c r="B1093" s="4"/>
      <c r="C1093" s="79" t="s">
        <v>15</v>
      </c>
      <c r="D1093" s="25"/>
      <c r="E1093" s="46"/>
      <c r="F1093" s="138"/>
      <c r="G1093" s="138"/>
      <c r="H1093" s="138"/>
      <c r="I1093" s="203"/>
      <c r="J1093" s="203"/>
    </row>
    <row r="1094" spans="1:10" ht="12.75">
      <c r="A1094" s="158">
        <f t="shared" si="59"/>
        <v>1015</v>
      </c>
      <c r="B1094" s="4"/>
      <c r="C1094" s="79" t="s">
        <v>147</v>
      </c>
      <c r="D1094" s="25"/>
      <c r="E1094" s="46">
        <f>52000-30000-20000</f>
        <v>2000</v>
      </c>
      <c r="F1094" s="138">
        <v>0</v>
      </c>
      <c r="G1094" s="138">
        <v>0</v>
      </c>
      <c r="H1094" s="138">
        <v>0</v>
      </c>
      <c r="I1094" s="203"/>
      <c r="J1094" s="203">
        <f aca="true" t="shared" si="61" ref="J1094:J1102">H1094/$H$1363</f>
        <v>0</v>
      </c>
    </row>
    <row r="1095" spans="1:10" ht="12.75">
      <c r="A1095" s="158">
        <f t="shared" si="59"/>
        <v>1016</v>
      </c>
      <c r="B1095" s="4"/>
      <c r="C1095" s="79" t="s">
        <v>148</v>
      </c>
      <c r="D1095" s="25"/>
      <c r="E1095" s="46"/>
      <c r="F1095" s="138">
        <v>1000</v>
      </c>
      <c r="G1095" s="138">
        <v>1000</v>
      </c>
      <c r="H1095" s="138">
        <v>0</v>
      </c>
      <c r="I1095" s="203">
        <f t="shared" si="60"/>
        <v>0</v>
      </c>
      <c r="J1095" s="203">
        <f t="shared" si="61"/>
        <v>0</v>
      </c>
    </row>
    <row r="1096" spans="1:10" ht="12.75">
      <c r="A1096" s="158">
        <f t="shared" si="59"/>
        <v>1017</v>
      </c>
      <c r="B1096" s="4"/>
      <c r="C1096" s="79" t="s">
        <v>47</v>
      </c>
      <c r="D1096" s="25"/>
      <c r="E1096" s="46"/>
      <c r="F1096" s="138">
        <v>1200</v>
      </c>
      <c r="G1096" s="138">
        <v>1161</v>
      </c>
      <c r="H1096" s="138">
        <v>1200</v>
      </c>
      <c r="I1096" s="203">
        <f t="shared" si="60"/>
        <v>1.0335917312661498</v>
      </c>
      <c r="J1096" s="203">
        <f t="shared" si="61"/>
        <v>2.6103665137310935E-05</v>
      </c>
    </row>
    <row r="1097" spans="1:10" ht="12.75">
      <c r="A1097" s="158">
        <f t="shared" si="59"/>
        <v>1018</v>
      </c>
      <c r="B1097" s="4">
        <v>4260</v>
      </c>
      <c r="C1097" s="79" t="s">
        <v>138</v>
      </c>
      <c r="D1097" s="25"/>
      <c r="E1097" s="47">
        <f>SUM(E1099)</f>
        <v>9500</v>
      </c>
      <c r="F1097" s="23">
        <f>SUM(F1099:F1101)</f>
        <v>24394</v>
      </c>
      <c r="G1097" s="23">
        <f>SUM(G1099:G1101)</f>
        <v>24391.23</v>
      </c>
      <c r="H1097" s="23">
        <f>SUM(H1099:H1101)</f>
        <v>4800</v>
      </c>
      <c r="I1097" s="203">
        <f t="shared" si="60"/>
        <v>0.1967920436976733</v>
      </c>
      <c r="J1097" s="203">
        <f t="shared" si="61"/>
        <v>0.00010441466054924374</v>
      </c>
    </row>
    <row r="1098" spans="1:10" ht="12.75">
      <c r="A1098" s="158">
        <f t="shared" si="59"/>
        <v>1019</v>
      </c>
      <c r="B1098" s="4"/>
      <c r="C1098" s="79" t="s">
        <v>15</v>
      </c>
      <c r="D1098" s="25"/>
      <c r="E1098" s="46"/>
      <c r="F1098" s="138"/>
      <c r="G1098" s="138"/>
      <c r="H1098" s="138"/>
      <c r="I1098" s="203"/>
      <c r="J1098" s="203">
        <f t="shared" si="61"/>
        <v>0</v>
      </c>
    </row>
    <row r="1099" spans="1:10" ht="12.75">
      <c r="A1099" s="158">
        <f t="shared" si="59"/>
        <v>1020</v>
      </c>
      <c r="B1099" s="4"/>
      <c r="C1099" s="79" t="s">
        <v>147</v>
      </c>
      <c r="D1099" s="25"/>
      <c r="E1099" s="46">
        <v>9500</v>
      </c>
      <c r="F1099" s="138">
        <v>17594</v>
      </c>
      <c r="G1099" s="138">
        <v>17594</v>
      </c>
      <c r="H1099" s="138">
        <v>0</v>
      </c>
      <c r="I1099" s="203">
        <f t="shared" si="60"/>
        <v>0</v>
      </c>
      <c r="J1099" s="203">
        <f t="shared" si="61"/>
        <v>0</v>
      </c>
    </row>
    <row r="1100" spans="1:10" ht="12.75">
      <c r="A1100" s="158">
        <f t="shared" si="59"/>
        <v>1021</v>
      </c>
      <c r="B1100" s="4"/>
      <c r="C1100" s="79" t="s">
        <v>148</v>
      </c>
      <c r="D1100" s="25"/>
      <c r="E1100" s="46"/>
      <c r="F1100" s="138">
        <v>2000</v>
      </c>
      <c r="G1100" s="138">
        <v>2000</v>
      </c>
      <c r="H1100" s="138">
        <v>0</v>
      </c>
      <c r="I1100" s="203">
        <f t="shared" si="60"/>
        <v>0</v>
      </c>
      <c r="J1100" s="203">
        <f t="shared" si="61"/>
        <v>0</v>
      </c>
    </row>
    <row r="1101" spans="1:10" ht="12.75">
      <c r="A1101" s="158">
        <f t="shared" si="59"/>
        <v>1022</v>
      </c>
      <c r="B1101" s="4"/>
      <c r="C1101" s="79" t="s">
        <v>47</v>
      </c>
      <c r="D1101" s="25"/>
      <c r="E1101" s="46"/>
      <c r="F1101" s="138">
        <v>4800</v>
      </c>
      <c r="G1101" s="138">
        <v>4797.23</v>
      </c>
      <c r="H1101" s="138">
        <v>4800</v>
      </c>
      <c r="I1101" s="203">
        <f t="shared" si="60"/>
        <v>1.0005774165508012</v>
      </c>
      <c r="J1101" s="203">
        <f t="shared" si="61"/>
        <v>0.00010441466054924374</v>
      </c>
    </row>
    <row r="1102" spans="1:10" ht="12.75">
      <c r="A1102" s="158">
        <f t="shared" si="59"/>
        <v>1023</v>
      </c>
      <c r="B1102" s="4">
        <v>4300</v>
      </c>
      <c r="C1102" s="79" t="s">
        <v>145</v>
      </c>
      <c r="D1102" s="25"/>
      <c r="E1102" s="45">
        <f>SUM(E1104:E1105)</f>
        <v>8000</v>
      </c>
      <c r="F1102" s="28">
        <f>SUM(F1104:F1106)</f>
        <v>2800</v>
      </c>
      <c r="G1102" s="28">
        <f>SUM(G1104:G1106)</f>
        <v>2800</v>
      </c>
      <c r="H1102" s="28">
        <f>SUM(H1104:H1106)</f>
        <v>1500</v>
      </c>
      <c r="I1102" s="203">
        <f t="shared" si="60"/>
        <v>0.5357142857142857</v>
      </c>
      <c r="J1102" s="203">
        <f t="shared" si="61"/>
        <v>3.262958142163867E-05</v>
      </c>
    </row>
    <row r="1103" spans="1:10" ht="12.75">
      <c r="A1103" s="158">
        <f t="shared" si="59"/>
        <v>1024</v>
      </c>
      <c r="B1103" s="4"/>
      <c r="C1103" s="79" t="s">
        <v>15</v>
      </c>
      <c r="D1103" s="25"/>
      <c r="E1103" s="46"/>
      <c r="F1103" s="138"/>
      <c r="G1103" s="138"/>
      <c r="H1103" s="138"/>
      <c r="I1103" s="203"/>
      <c r="J1103" s="203"/>
    </row>
    <row r="1104" spans="1:10" ht="12.75">
      <c r="A1104" s="158">
        <f t="shared" si="59"/>
        <v>1025</v>
      </c>
      <c r="B1104" s="4"/>
      <c r="C1104" s="79" t="s">
        <v>147</v>
      </c>
      <c r="D1104" s="25"/>
      <c r="E1104" s="46">
        <v>8000</v>
      </c>
      <c r="F1104" s="138">
        <v>0</v>
      </c>
      <c r="G1104" s="138">
        <v>0</v>
      </c>
      <c r="H1104" s="138">
        <v>0</v>
      </c>
      <c r="I1104" s="203"/>
      <c r="J1104" s="203">
        <f aca="true" t="shared" si="62" ref="J1104:J1118">H1104/$H$1363</f>
        <v>0</v>
      </c>
    </row>
    <row r="1105" spans="1:10" ht="12.75">
      <c r="A1105" s="158">
        <f t="shared" si="59"/>
        <v>1026</v>
      </c>
      <c r="B1105" s="4"/>
      <c r="C1105" s="79" t="s">
        <v>148</v>
      </c>
      <c r="D1105" s="25"/>
      <c r="E1105" s="46">
        <v>0</v>
      </c>
      <c r="F1105" s="138">
        <v>1300</v>
      </c>
      <c r="G1105" s="138">
        <v>1300</v>
      </c>
      <c r="H1105" s="138">
        <v>0</v>
      </c>
      <c r="I1105" s="203">
        <f t="shared" si="60"/>
        <v>0</v>
      </c>
      <c r="J1105" s="203">
        <f t="shared" si="62"/>
        <v>0</v>
      </c>
    </row>
    <row r="1106" spans="1:10" ht="12.75">
      <c r="A1106" s="158">
        <f t="shared" si="59"/>
        <v>1027</v>
      </c>
      <c r="B1106" s="4"/>
      <c r="C1106" s="79" t="s">
        <v>47</v>
      </c>
      <c r="D1106" s="25"/>
      <c r="E1106" s="46"/>
      <c r="F1106" s="138">
        <v>1500</v>
      </c>
      <c r="G1106" s="138">
        <v>1500</v>
      </c>
      <c r="H1106" s="138">
        <v>1500</v>
      </c>
      <c r="I1106" s="203">
        <f t="shared" si="60"/>
        <v>1</v>
      </c>
      <c r="J1106" s="203">
        <f t="shared" si="62"/>
        <v>3.262958142163867E-05</v>
      </c>
    </row>
    <row r="1107" spans="1:10" s="73" customFormat="1" ht="12.75" hidden="1">
      <c r="A1107" s="158">
        <f t="shared" si="59"/>
        <v>1028</v>
      </c>
      <c r="B1107" s="62">
        <v>85414</v>
      </c>
      <c r="C1107" s="68" t="s">
        <v>176</v>
      </c>
      <c r="D1107" s="63"/>
      <c r="E1107" s="64">
        <f>E1108+E1112+E1116+E1120+E1124+E1128+E1132+E1136+E1140+E1145+E1149</f>
        <v>270900</v>
      </c>
      <c r="F1107" s="148"/>
      <c r="G1107" s="148"/>
      <c r="H1107" s="148"/>
      <c r="I1107" s="203" t="e">
        <f t="shared" si="60"/>
        <v>#DIV/0!</v>
      </c>
      <c r="J1107" s="203">
        <f t="shared" si="62"/>
        <v>0</v>
      </c>
    </row>
    <row r="1108" spans="1:10" ht="12.75" hidden="1">
      <c r="A1108" s="158">
        <f t="shared" si="59"/>
        <v>1029</v>
      </c>
      <c r="B1108" s="4">
        <v>3020</v>
      </c>
      <c r="C1108" s="79" t="s">
        <v>41</v>
      </c>
      <c r="D1108" s="25"/>
      <c r="E1108" s="45">
        <f>SUM(E1110:E1111)</f>
        <v>1800</v>
      </c>
      <c r="F1108" s="138"/>
      <c r="G1108" s="138"/>
      <c r="H1108" s="138"/>
      <c r="I1108" s="203" t="e">
        <f t="shared" si="60"/>
        <v>#DIV/0!</v>
      </c>
      <c r="J1108" s="203">
        <f t="shared" si="62"/>
        <v>0</v>
      </c>
    </row>
    <row r="1109" spans="1:10" ht="12.75" hidden="1">
      <c r="A1109" s="158">
        <f t="shared" si="59"/>
        <v>1030</v>
      </c>
      <c r="B1109" s="4"/>
      <c r="C1109" s="79" t="s">
        <v>15</v>
      </c>
      <c r="D1109" s="25"/>
      <c r="E1109" s="46"/>
      <c r="F1109" s="138"/>
      <c r="G1109" s="138"/>
      <c r="H1109" s="138"/>
      <c r="I1109" s="203" t="e">
        <f t="shared" si="60"/>
        <v>#DIV/0!</v>
      </c>
      <c r="J1109" s="203">
        <f t="shared" si="62"/>
        <v>0</v>
      </c>
    </row>
    <row r="1110" spans="1:10" ht="12.75" hidden="1">
      <c r="A1110" s="158">
        <f t="shared" si="59"/>
        <v>1031</v>
      </c>
      <c r="B1110" s="4"/>
      <c r="C1110" s="79" t="s">
        <v>147</v>
      </c>
      <c r="D1110" s="25"/>
      <c r="E1110" s="46">
        <v>800</v>
      </c>
      <c r="F1110" s="138"/>
      <c r="G1110" s="138"/>
      <c r="H1110" s="138"/>
      <c r="I1110" s="203" t="e">
        <f t="shared" si="60"/>
        <v>#DIV/0!</v>
      </c>
      <c r="J1110" s="203">
        <f t="shared" si="62"/>
        <v>0</v>
      </c>
    </row>
    <row r="1111" spans="1:10" ht="12.75" hidden="1">
      <c r="A1111" s="158">
        <f t="shared" si="59"/>
        <v>1032</v>
      </c>
      <c r="B1111" s="4"/>
      <c r="C1111" s="79" t="s">
        <v>47</v>
      </c>
      <c r="D1111" s="25"/>
      <c r="E1111" s="46">
        <v>1000</v>
      </c>
      <c r="F1111" s="138"/>
      <c r="G1111" s="138"/>
      <c r="H1111" s="138"/>
      <c r="I1111" s="203" t="e">
        <f t="shared" si="60"/>
        <v>#DIV/0!</v>
      </c>
      <c r="J1111" s="203">
        <f t="shared" si="62"/>
        <v>0</v>
      </c>
    </row>
    <row r="1112" spans="1:10" ht="12.75" hidden="1">
      <c r="A1112" s="158">
        <f t="shared" si="59"/>
        <v>1033</v>
      </c>
      <c r="B1112" s="4">
        <v>4010</v>
      </c>
      <c r="C1112" s="79" t="s">
        <v>27</v>
      </c>
      <c r="D1112" s="25"/>
      <c r="E1112" s="45">
        <f>SUM(E1114:E1115)</f>
        <v>84200</v>
      </c>
      <c r="F1112" s="138"/>
      <c r="G1112" s="138"/>
      <c r="H1112" s="138"/>
      <c r="I1112" s="203" t="e">
        <f t="shared" si="60"/>
        <v>#DIV/0!</v>
      </c>
      <c r="J1112" s="203">
        <f t="shared" si="62"/>
        <v>0</v>
      </c>
    </row>
    <row r="1113" spans="1:10" ht="12.75" hidden="1">
      <c r="A1113" s="158">
        <f t="shared" si="59"/>
        <v>1034</v>
      </c>
      <c r="B1113" s="4"/>
      <c r="C1113" s="79" t="s">
        <v>15</v>
      </c>
      <c r="D1113" s="25"/>
      <c r="E1113" s="46"/>
      <c r="F1113" s="138"/>
      <c r="G1113" s="138"/>
      <c r="H1113" s="138"/>
      <c r="I1113" s="203" t="e">
        <f t="shared" si="60"/>
        <v>#DIV/0!</v>
      </c>
      <c r="J1113" s="203">
        <f t="shared" si="62"/>
        <v>0</v>
      </c>
    </row>
    <row r="1114" spans="1:10" ht="12.75" hidden="1">
      <c r="A1114" s="158">
        <f t="shared" si="59"/>
        <v>1035</v>
      </c>
      <c r="B1114" s="4"/>
      <c r="C1114" s="79" t="s">
        <v>147</v>
      </c>
      <c r="D1114" s="25"/>
      <c r="E1114" s="46">
        <v>42300</v>
      </c>
      <c r="F1114" s="138"/>
      <c r="G1114" s="138"/>
      <c r="H1114" s="138"/>
      <c r="I1114" s="203" t="e">
        <f t="shared" si="60"/>
        <v>#DIV/0!</v>
      </c>
      <c r="J1114" s="203">
        <f t="shared" si="62"/>
        <v>0</v>
      </c>
    </row>
    <row r="1115" spans="1:10" ht="12.75" hidden="1">
      <c r="A1115" s="158">
        <f t="shared" si="59"/>
        <v>1036</v>
      </c>
      <c r="B1115" s="4"/>
      <c r="C1115" s="79" t="s">
        <v>47</v>
      </c>
      <c r="D1115" s="25"/>
      <c r="E1115" s="46">
        <v>41900</v>
      </c>
      <c r="F1115" s="138"/>
      <c r="G1115" s="138"/>
      <c r="H1115" s="138"/>
      <c r="I1115" s="203" t="e">
        <f t="shared" si="60"/>
        <v>#DIV/0!</v>
      </c>
      <c r="J1115" s="203">
        <f t="shared" si="62"/>
        <v>0</v>
      </c>
    </row>
    <row r="1116" spans="1:10" ht="12.75" hidden="1">
      <c r="A1116" s="158">
        <f t="shared" si="59"/>
        <v>1037</v>
      </c>
      <c r="B1116" s="4">
        <v>4040</v>
      </c>
      <c r="C1116" s="79" t="s">
        <v>28</v>
      </c>
      <c r="D1116" s="25"/>
      <c r="E1116" s="45">
        <f>SUM(E1118:E1119)</f>
        <v>6800</v>
      </c>
      <c r="F1116" s="138"/>
      <c r="G1116" s="138"/>
      <c r="H1116" s="138"/>
      <c r="I1116" s="203" t="e">
        <f t="shared" si="60"/>
        <v>#DIV/0!</v>
      </c>
      <c r="J1116" s="203">
        <f t="shared" si="62"/>
        <v>0</v>
      </c>
    </row>
    <row r="1117" spans="1:10" ht="12.75" hidden="1">
      <c r="A1117" s="158">
        <f t="shared" si="59"/>
        <v>1038</v>
      </c>
      <c r="B1117" s="4"/>
      <c r="C1117" s="79" t="s">
        <v>15</v>
      </c>
      <c r="D1117" s="25"/>
      <c r="E1117" s="46"/>
      <c r="F1117" s="138"/>
      <c r="G1117" s="138"/>
      <c r="H1117" s="138"/>
      <c r="I1117" s="203" t="e">
        <f t="shared" si="60"/>
        <v>#DIV/0!</v>
      </c>
      <c r="J1117" s="203">
        <f t="shared" si="62"/>
        <v>0</v>
      </c>
    </row>
    <row r="1118" spans="1:10" ht="12.75" hidden="1">
      <c r="A1118" s="158">
        <f t="shared" si="59"/>
        <v>1039</v>
      </c>
      <c r="B1118" s="4"/>
      <c r="C1118" s="79" t="s">
        <v>147</v>
      </c>
      <c r="D1118" s="25"/>
      <c r="E1118" s="46">
        <v>3500</v>
      </c>
      <c r="F1118" s="138"/>
      <c r="G1118" s="138"/>
      <c r="H1118" s="138"/>
      <c r="I1118" s="203" t="e">
        <f t="shared" si="60"/>
        <v>#DIV/0!</v>
      </c>
      <c r="J1118" s="203">
        <f t="shared" si="62"/>
        <v>0</v>
      </c>
    </row>
    <row r="1119" spans="1:10" ht="12.75" hidden="1">
      <c r="A1119" s="158">
        <f t="shared" si="59"/>
        <v>1040</v>
      </c>
      <c r="B1119" s="4"/>
      <c r="C1119" s="79" t="s">
        <v>47</v>
      </c>
      <c r="D1119" s="25"/>
      <c r="E1119" s="46">
        <v>3300</v>
      </c>
      <c r="F1119" s="138"/>
      <c r="G1119" s="138"/>
      <c r="H1119" s="138"/>
      <c r="I1119" s="203" t="e">
        <f t="shared" si="60"/>
        <v>#DIV/0!</v>
      </c>
      <c r="J1119" s="203">
        <f aca="true" t="shared" si="63" ref="J1119:J1152">H1119/$H$1363</f>
        <v>0</v>
      </c>
    </row>
    <row r="1120" spans="1:10" ht="12.75" hidden="1">
      <c r="A1120" s="158">
        <f t="shared" si="59"/>
        <v>1041</v>
      </c>
      <c r="B1120" s="4">
        <v>4110</v>
      </c>
      <c r="C1120" s="79" t="s">
        <v>44</v>
      </c>
      <c r="D1120" s="25"/>
      <c r="E1120" s="45">
        <f>SUM(E1122:E1123)</f>
        <v>16100</v>
      </c>
      <c r="F1120" s="138"/>
      <c r="G1120" s="138"/>
      <c r="H1120" s="138"/>
      <c r="I1120" s="203" t="e">
        <f t="shared" si="60"/>
        <v>#DIV/0!</v>
      </c>
      <c r="J1120" s="203">
        <f t="shared" si="63"/>
        <v>0</v>
      </c>
    </row>
    <row r="1121" spans="1:10" ht="12.75" hidden="1">
      <c r="A1121" s="158">
        <f t="shared" si="59"/>
        <v>1042</v>
      </c>
      <c r="B1121" s="4"/>
      <c r="C1121" s="79" t="s">
        <v>15</v>
      </c>
      <c r="D1121" s="25"/>
      <c r="E1121" s="46"/>
      <c r="F1121" s="138"/>
      <c r="G1121" s="138"/>
      <c r="H1121" s="138"/>
      <c r="I1121" s="203" t="e">
        <f t="shared" si="60"/>
        <v>#DIV/0!</v>
      </c>
      <c r="J1121" s="203">
        <f t="shared" si="63"/>
        <v>0</v>
      </c>
    </row>
    <row r="1122" spans="1:10" ht="12.75" hidden="1">
      <c r="A1122" s="158">
        <f t="shared" si="59"/>
        <v>1043</v>
      </c>
      <c r="B1122" s="4"/>
      <c r="C1122" s="79" t="s">
        <v>147</v>
      </c>
      <c r="D1122" s="25"/>
      <c r="E1122" s="46">
        <v>8000</v>
      </c>
      <c r="F1122" s="138"/>
      <c r="G1122" s="138"/>
      <c r="H1122" s="138"/>
      <c r="I1122" s="203" t="e">
        <f t="shared" si="60"/>
        <v>#DIV/0!</v>
      </c>
      <c r="J1122" s="203">
        <f t="shared" si="63"/>
        <v>0</v>
      </c>
    </row>
    <row r="1123" spans="1:10" ht="12.75" hidden="1">
      <c r="A1123" s="158">
        <f t="shared" si="59"/>
        <v>1044</v>
      </c>
      <c r="B1123" s="4"/>
      <c r="C1123" s="79" t="s">
        <v>47</v>
      </c>
      <c r="D1123" s="25"/>
      <c r="E1123" s="46">
        <v>8100</v>
      </c>
      <c r="F1123" s="138"/>
      <c r="G1123" s="138"/>
      <c r="H1123" s="138"/>
      <c r="I1123" s="203" t="e">
        <f t="shared" si="60"/>
        <v>#DIV/0!</v>
      </c>
      <c r="J1123" s="203">
        <f t="shared" si="63"/>
        <v>0</v>
      </c>
    </row>
    <row r="1124" spans="1:10" ht="12.75" hidden="1">
      <c r="A1124" s="158">
        <f t="shared" si="59"/>
        <v>1045</v>
      </c>
      <c r="B1124" s="4">
        <v>4120</v>
      </c>
      <c r="C1124" s="79" t="s">
        <v>33</v>
      </c>
      <c r="D1124" s="25"/>
      <c r="E1124" s="45">
        <f>SUM(E1126:E1127)</f>
        <v>2200</v>
      </c>
      <c r="F1124" s="138"/>
      <c r="G1124" s="138"/>
      <c r="H1124" s="138"/>
      <c r="I1124" s="203" t="e">
        <f t="shared" si="60"/>
        <v>#DIV/0!</v>
      </c>
      <c r="J1124" s="203">
        <f t="shared" si="63"/>
        <v>0</v>
      </c>
    </row>
    <row r="1125" spans="1:10" ht="12.75" hidden="1">
      <c r="A1125" s="158">
        <f t="shared" si="59"/>
        <v>1046</v>
      </c>
      <c r="B1125" s="4"/>
      <c r="C1125" s="79" t="s">
        <v>15</v>
      </c>
      <c r="D1125" s="25"/>
      <c r="E1125" s="46"/>
      <c r="F1125" s="138"/>
      <c r="G1125" s="138"/>
      <c r="H1125" s="138"/>
      <c r="I1125" s="203" t="e">
        <f t="shared" si="60"/>
        <v>#DIV/0!</v>
      </c>
      <c r="J1125" s="203">
        <f t="shared" si="63"/>
        <v>0</v>
      </c>
    </row>
    <row r="1126" spans="1:10" ht="12.75" hidden="1">
      <c r="A1126" s="158">
        <f t="shared" si="59"/>
        <v>1047</v>
      </c>
      <c r="B1126" s="4"/>
      <c r="C1126" s="79" t="s">
        <v>147</v>
      </c>
      <c r="D1126" s="25"/>
      <c r="E1126" s="46">
        <v>1100</v>
      </c>
      <c r="F1126" s="138"/>
      <c r="G1126" s="138"/>
      <c r="H1126" s="138"/>
      <c r="I1126" s="203" t="e">
        <f t="shared" si="60"/>
        <v>#DIV/0!</v>
      </c>
      <c r="J1126" s="203">
        <f t="shared" si="63"/>
        <v>0</v>
      </c>
    </row>
    <row r="1127" spans="1:10" ht="12.75" hidden="1">
      <c r="A1127" s="158">
        <f t="shared" si="59"/>
        <v>1048</v>
      </c>
      <c r="B1127" s="4"/>
      <c r="C1127" s="79" t="s">
        <v>47</v>
      </c>
      <c r="D1127" s="25"/>
      <c r="E1127" s="46">
        <v>1100</v>
      </c>
      <c r="F1127" s="138"/>
      <c r="G1127" s="138"/>
      <c r="H1127" s="138"/>
      <c r="I1127" s="203" t="e">
        <f t="shared" si="60"/>
        <v>#DIV/0!</v>
      </c>
      <c r="J1127" s="203">
        <f t="shared" si="63"/>
        <v>0</v>
      </c>
    </row>
    <row r="1128" spans="1:10" ht="12.75" hidden="1">
      <c r="A1128" s="158">
        <f t="shared" si="59"/>
        <v>1049</v>
      </c>
      <c r="B1128" s="4">
        <v>4210</v>
      </c>
      <c r="C1128" s="79" t="s">
        <v>136</v>
      </c>
      <c r="D1128" s="25"/>
      <c r="E1128" s="45">
        <f>SUM(E1130:E1131)</f>
        <v>12200</v>
      </c>
      <c r="F1128" s="138"/>
      <c r="G1128" s="138"/>
      <c r="H1128" s="138"/>
      <c r="I1128" s="203" t="e">
        <f t="shared" si="60"/>
        <v>#DIV/0!</v>
      </c>
      <c r="J1128" s="203">
        <f t="shared" si="63"/>
        <v>0</v>
      </c>
    </row>
    <row r="1129" spans="1:10" ht="12.75" hidden="1">
      <c r="A1129" s="158">
        <f t="shared" si="59"/>
        <v>1050</v>
      </c>
      <c r="B1129" s="4"/>
      <c r="C1129" s="79" t="s">
        <v>15</v>
      </c>
      <c r="D1129" s="25"/>
      <c r="E1129" s="46"/>
      <c r="F1129" s="138"/>
      <c r="G1129" s="138"/>
      <c r="H1129" s="138"/>
      <c r="I1129" s="203" t="e">
        <f t="shared" si="60"/>
        <v>#DIV/0!</v>
      </c>
      <c r="J1129" s="203">
        <f t="shared" si="63"/>
        <v>0</v>
      </c>
    </row>
    <row r="1130" spans="1:10" ht="12.75" hidden="1">
      <c r="A1130" s="158">
        <f t="shared" si="59"/>
        <v>1051</v>
      </c>
      <c r="B1130" s="4"/>
      <c r="C1130" s="79" t="s">
        <v>147</v>
      </c>
      <c r="D1130" s="25"/>
      <c r="E1130" s="46">
        <v>9200</v>
      </c>
      <c r="F1130" s="138"/>
      <c r="G1130" s="138"/>
      <c r="H1130" s="138"/>
      <c r="I1130" s="203" t="e">
        <f t="shared" si="60"/>
        <v>#DIV/0!</v>
      </c>
      <c r="J1130" s="203">
        <f t="shared" si="63"/>
        <v>0</v>
      </c>
    </row>
    <row r="1131" spans="1:10" ht="12.75" hidden="1">
      <c r="A1131" s="158">
        <f t="shared" si="59"/>
        <v>1052</v>
      </c>
      <c r="B1131" s="4"/>
      <c r="C1131" s="79" t="s">
        <v>47</v>
      </c>
      <c r="D1131" s="25"/>
      <c r="E1131" s="46">
        <v>3000</v>
      </c>
      <c r="F1131" s="138"/>
      <c r="G1131" s="138"/>
      <c r="H1131" s="138"/>
      <c r="I1131" s="203" t="e">
        <f t="shared" si="60"/>
        <v>#DIV/0!</v>
      </c>
      <c r="J1131" s="203">
        <f t="shared" si="63"/>
        <v>0</v>
      </c>
    </row>
    <row r="1132" spans="1:10" ht="12.75" hidden="1">
      <c r="A1132" s="158">
        <f t="shared" si="59"/>
        <v>1053</v>
      </c>
      <c r="B1132" s="4">
        <v>4220</v>
      </c>
      <c r="C1132" s="79" t="s">
        <v>141</v>
      </c>
      <c r="D1132" s="25"/>
      <c r="E1132" s="45">
        <f>SUM(E1134:E1135)</f>
        <v>130500</v>
      </c>
      <c r="F1132" s="138"/>
      <c r="G1132" s="138"/>
      <c r="H1132" s="138"/>
      <c r="I1132" s="203" t="e">
        <f t="shared" si="60"/>
        <v>#DIV/0!</v>
      </c>
      <c r="J1132" s="203">
        <f t="shared" si="63"/>
        <v>0</v>
      </c>
    </row>
    <row r="1133" spans="1:10" ht="12.75" hidden="1">
      <c r="A1133" s="158">
        <f t="shared" si="59"/>
        <v>1054</v>
      </c>
      <c r="B1133" s="4"/>
      <c r="C1133" s="79" t="s">
        <v>15</v>
      </c>
      <c r="D1133" s="25"/>
      <c r="E1133" s="46"/>
      <c r="F1133" s="138"/>
      <c r="G1133" s="138"/>
      <c r="H1133" s="138"/>
      <c r="I1133" s="203" t="e">
        <f t="shared" si="60"/>
        <v>#DIV/0!</v>
      </c>
      <c r="J1133" s="203">
        <f t="shared" si="63"/>
        <v>0</v>
      </c>
    </row>
    <row r="1134" spans="1:10" ht="12.75" hidden="1">
      <c r="A1134" s="158">
        <f t="shared" si="59"/>
        <v>1055</v>
      </c>
      <c r="B1134" s="4"/>
      <c r="C1134" s="79" t="s">
        <v>147</v>
      </c>
      <c r="D1134" s="25"/>
      <c r="E1134" s="46">
        <v>64000</v>
      </c>
      <c r="F1134" s="138"/>
      <c r="G1134" s="138"/>
      <c r="H1134" s="138"/>
      <c r="I1134" s="203" t="e">
        <f t="shared" si="60"/>
        <v>#DIV/0!</v>
      </c>
      <c r="J1134" s="203">
        <f t="shared" si="63"/>
        <v>0</v>
      </c>
    </row>
    <row r="1135" spans="1:10" ht="12.75" hidden="1">
      <c r="A1135" s="158">
        <f t="shared" si="59"/>
        <v>1056</v>
      </c>
      <c r="B1135" s="4"/>
      <c r="C1135" s="79" t="s">
        <v>47</v>
      </c>
      <c r="D1135" s="25"/>
      <c r="E1135" s="46">
        <v>66500</v>
      </c>
      <c r="F1135" s="138"/>
      <c r="G1135" s="138"/>
      <c r="H1135" s="138"/>
      <c r="I1135" s="203" t="e">
        <f t="shared" si="60"/>
        <v>#DIV/0!</v>
      </c>
      <c r="J1135" s="203">
        <f t="shared" si="63"/>
        <v>0</v>
      </c>
    </row>
    <row r="1136" spans="1:10" ht="12.75" hidden="1">
      <c r="A1136" s="158">
        <f t="shared" si="59"/>
        <v>1057</v>
      </c>
      <c r="B1136" s="4">
        <v>4260</v>
      </c>
      <c r="C1136" s="79" t="s">
        <v>138</v>
      </c>
      <c r="D1136" s="25"/>
      <c r="E1136" s="45">
        <f>SUM(E1138:E1139)</f>
        <v>5700</v>
      </c>
      <c r="F1136" s="138"/>
      <c r="G1136" s="138"/>
      <c r="H1136" s="138"/>
      <c r="I1136" s="203" t="e">
        <f t="shared" si="60"/>
        <v>#DIV/0!</v>
      </c>
      <c r="J1136" s="203">
        <f t="shared" si="63"/>
        <v>0</v>
      </c>
    </row>
    <row r="1137" spans="1:10" ht="12.75" hidden="1">
      <c r="A1137" s="158">
        <f t="shared" si="59"/>
        <v>1058</v>
      </c>
      <c r="B1137" s="4"/>
      <c r="C1137" s="79" t="s">
        <v>15</v>
      </c>
      <c r="D1137" s="25"/>
      <c r="E1137" s="46"/>
      <c r="F1137" s="138"/>
      <c r="G1137" s="138"/>
      <c r="H1137" s="138"/>
      <c r="I1137" s="203" t="e">
        <f t="shared" si="60"/>
        <v>#DIV/0!</v>
      </c>
      <c r="J1137" s="203">
        <f t="shared" si="63"/>
        <v>0</v>
      </c>
    </row>
    <row r="1138" spans="1:10" ht="12.75" hidden="1">
      <c r="A1138" s="158">
        <f t="shared" si="59"/>
        <v>1059</v>
      </c>
      <c r="B1138" s="4"/>
      <c r="C1138" s="79" t="s">
        <v>147</v>
      </c>
      <c r="D1138" s="25"/>
      <c r="E1138" s="46">
        <v>3200</v>
      </c>
      <c r="F1138" s="138"/>
      <c r="G1138" s="138"/>
      <c r="H1138" s="138"/>
      <c r="I1138" s="203" t="e">
        <f t="shared" si="60"/>
        <v>#DIV/0!</v>
      </c>
      <c r="J1138" s="203">
        <f t="shared" si="63"/>
        <v>0</v>
      </c>
    </row>
    <row r="1139" spans="1:10" ht="12.75" hidden="1">
      <c r="A1139" s="158">
        <f t="shared" si="59"/>
        <v>1060</v>
      </c>
      <c r="B1139" s="4"/>
      <c r="C1139" s="79" t="s">
        <v>47</v>
      </c>
      <c r="D1139" s="25"/>
      <c r="E1139" s="46">
        <v>2500</v>
      </c>
      <c r="F1139" s="138"/>
      <c r="G1139" s="138"/>
      <c r="H1139" s="138"/>
      <c r="I1139" s="203" t="e">
        <f t="shared" si="60"/>
        <v>#DIV/0!</v>
      </c>
      <c r="J1139" s="203">
        <f t="shared" si="63"/>
        <v>0</v>
      </c>
    </row>
    <row r="1140" spans="1:10" ht="12.75" hidden="1">
      <c r="A1140" s="158">
        <f t="shared" si="59"/>
        <v>1061</v>
      </c>
      <c r="B1140" s="4">
        <v>4270</v>
      </c>
      <c r="C1140" s="79" t="s">
        <v>135</v>
      </c>
      <c r="D1140" s="25"/>
      <c r="E1140" s="45">
        <f>SUM(E1142:E1143)</f>
        <v>6800</v>
      </c>
      <c r="F1140" s="138"/>
      <c r="G1140" s="138"/>
      <c r="H1140" s="138"/>
      <c r="I1140" s="203" t="e">
        <f t="shared" si="60"/>
        <v>#DIV/0!</v>
      </c>
      <c r="J1140" s="203">
        <f t="shared" si="63"/>
        <v>0</v>
      </c>
    </row>
    <row r="1141" spans="1:10" ht="12.75" hidden="1">
      <c r="A1141" s="158">
        <f aca="true" t="shared" si="64" ref="A1141:A1206">A1140+1</f>
        <v>1062</v>
      </c>
      <c r="B1141" s="4"/>
      <c r="C1141" s="79" t="s">
        <v>15</v>
      </c>
      <c r="D1141" s="25"/>
      <c r="E1141" s="46"/>
      <c r="F1141" s="138"/>
      <c r="G1141" s="138"/>
      <c r="H1141" s="138"/>
      <c r="I1141" s="203" t="e">
        <f t="shared" si="60"/>
        <v>#DIV/0!</v>
      </c>
      <c r="J1141" s="203">
        <f t="shared" si="63"/>
        <v>0</v>
      </c>
    </row>
    <row r="1142" spans="1:10" ht="12.75" hidden="1">
      <c r="A1142" s="158">
        <f t="shared" si="64"/>
        <v>1063</v>
      </c>
      <c r="B1142" s="4"/>
      <c r="C1142" s="79" t="s">
        <v>147</v>
      </c>
      <c r="D1142" s="25"/>
      <c r="E1142" s="46">
        <v>4300</v>
      </c>
      <c r="F1142" s="138"/>
      <c r="G1142" s="138"/>
      <c r="H1142" s="138"/>
      <c r="I1142" s="203" t="e">
        <f t="shared" si="60"/>
        <v>#DIV/0!</v>
      </c>
      <c r="J1142" s="203">
        <f t="shared" si="63"/>
        <v>0</v>
      </c>
    </row>
    <row r="1143" spans="1:10" ht="12.75" hidden="1">
      <c r="A1143" s="158">
        <f t="shared" si="64"/>
        <v>1064</v>
      </c>
      <c r="B1143" s="4"/>
      <c r="C1143" s="79" t="s">
        <v>47</v>
      </c>
      <c r="D1143" s="25"/>
      <c r="E1143" s="46">
        <v>2500</v>
      </c>
      <c r="F1143" s="138"/>
      <c r="G1143" s="138"/>
      <c r="H1143" s="138"/>
      <c r="I1143" s="203" t="e">
        <f t="shared" si="60"/>
        <v>#DIV/0!</v>
      </c>
      <c r="J1143" s="203">
        <f t="shared" si="63"/>
        <v>0</v>
      </c>
    </row>
    <row r="1144" spans="1:10" ht="12.75" hidden="1">
      <c r="A1144" s="158">
        <f t="shared" si="64"/>
        <v>1065</v>
      </c>
      <c r="B1144" s="4"/>
      <c r="C1144" s="79"/>
      <c r="D1144" s="25"/>
      <c r="E1144" s="46"/>
      <c r="F1144" s="138"/>
      <c r="G1144" s="138"/>
      <c r="H1144" s="138"/>
      <c r="I1144" s="203" t="e">
        <f t="shared" si="60"/>
        <v>#DIV/0!</v>
      </c>
      <c r="J1144" s="203">
        <f t="shared" si="63"/>
        <v>0</v>
      </c>
    </row>
    <row r="1145" spans="1:10" ht="12.75" hidden="1">
      <c r="A1145" s="158">
        <f t="shared" si="64"/>
        <v>1066</v>
      </c>
      <c r="B1145" s="4">
        <v>4300</v>
      </c>
      <c r="C1145" s="79" t="s">
        <v>134</v>
      </c>
      <c r="D1145" s="25"/>
      <c r="E1145" s="45">
        <f>SUM(E1147:E1148)</f>
        <v>1000</v>
      </c>
      <c r="F1145" s="138"/>
      <c r="G1145" s="138"/>
      <c r="H1145" s="138"/>
      <c r="I1145" s="203" t="e">
        <f t="shared" si="60"/>
        <v>#DIV/0!</v>
      </c>
      <c r="J1145" s="203">
        <f t="shared" si="63"/>
        <v>0</v>
      </c>
    </row>
    <row r="1146" spans="1:10" ht="12.75" hidden="1">
      <c r="A1146" s="158">
        <f t="shared" si="64"/>
        <v>1067</v>
      </c>
      <c r="B1146" s="4"/>
      <c r="C1146" s="79" t="s">
        <v>15</v>
      </c>
      <c r="D1146" s="25"/>
      <c r="E1146" s="46"/>
      <c r="F1146" s="138"/>
      <c r="G1146" s="138"/>
      <c r="H1146" s="138"/>
      <c r="I1146" s="203" t="e">
        <f t="shared" si="60"/>
        <v>#DIV/0!</v>
      </c>
      <c r="J1146" s="203">
        <f t="shared" si="63"/>
        <v>0</v>
      </c>
    </row>
    <row r="1147" spans="1:10" ht="12.75" hidden="1">
      <c r="A1147" s="158">
        <f t="shared" si="64"/>
        <v>1068</v>
      </c>
      <c r="B1147" s="4"/>
      <c r="C1147" s="79" t="s">
        <v>147</v>
      </c>
      <c r="D1147" s="25"/>
      <c r="E1147" s="46">
        <v>0</v>
      </c>
      <c r="F1147" s="138"/>
      <c r="G1147" s="138"/>
      <c r="H1147" s="138"/>
      <c r="I1147" s="203" t="e">
        <f t="shared" si="60"/>
        <v>#DIV/0!</v>
      </c>
      <c r="J1147" s="203">
        <f t="shared" si="63"/>
        <v>0</v>
      </c>
    </row>
    <row r="1148" spans="1:10" ht="12.75" hidden="1">
      <c r="A1148" s="158">
        <f t="shared" si="64"/>
        <v>1069</v>
      </c>
      <c r="B1148" s="4"/>
      <c r="C1148" s="79" t="s">
        <v>47</v>
      </c>
      <c r="D1148" s="25"/>
      <c r="E1148" s="46">
        <v>1000</v>
      </c>
      <c r="F1148" s="138"/>
      <c r="G1148" s="138"/>
      <c r="H1148" s="138"/>
      <c r="I1148" s="203" t="e">
        <f t="shared" si="60"/>
        <v>#DIV/0!</v>
      </c>
      <c r="J1148" s="203">
        <f t="shared" si="63"/>
        <v>0</v>
      </c>
    </row>
    <row r="1149" spans="1:10" ht="12.75" hidden="1">
      <c r="A1149" s="158">
        <f t="shared" si="64"/>
        <v>1070</v>
      </c>
      <c r="B1149" s="4">
        <v>4440</v>
      </c>
      <c r="C1149" s="79" t="s">
        <v>45</v>
      </c>
      <c r="D1149" s="25"/>
      <c r="E1149" s="45">
        <f>SUM(E1151:E1152)</f>
        <v>3600</v>
      </c>
      <c r="F1149" s="138"/>
      <c r="G1149" s="138"/>
      <c r="H1149" s="138"/>
      <c r="I1149" s="203" t="e">
        <f t="shared" si="60"/>
        <v>#DIV/0!</v>
      </c>
      <c r="J1149" s="203">
        <f t="shared" si="63"/>
        <v>0</v>
      </c>
    </row>
    <row r="1150" spans="1:10" ht="12.75" hidden="1">
      <c r="A1150" s="158">
        <f t="shared" si="64"/>
        <v>1071</v>
      </c>
      <c r="B1150" s="4"/>
      <c r="C1150" s="79" t="s">
        <v>15</v>
      </c>
      <c r="D1150" s="25"/>
      <c r="E1150" s="46"/>
      <c r="F1150" s="138"/>
      <c r="G1150" s="138"/>
      <c r="H1150" s="138"/>
      <c r="I1150" s="203" t="e">
        <f aca="true" t="shared" si="65" ref="I1150:I1230">H1150/G1150</f>
        <v>#DIV/0!</v>
      </c>
      <c r="J1150" s="203">
        <f t="shared" si="63"/>
        <v>0</v>
      </c>
    </row>
    <row r="1151" spans="1:10" ht="12.75" hidden="1">
      <c r="A1151" s="158">
        <f t="shared" si="64"/>
        <v>1072</v>
      </c>
      <c r="B1151" s="4"/>
      <c r="C1151" s="79" t="s">
        <v>147</v>
      </c>
      <c r="D1151" s="25"/>
      <c r="E1151" s="46">
        <v>1400</v>
      </c>
      <c r="F1151" s="138"/>
      <c r="G1151" s="138"/>
      <c r="H1151" s="138"/>
      <c r="I1151" s="203" t="e">
        <f t="shared" si="65"/>
        <v>#DIV/0!</v>
      </c>
      <c r="J1151" s="203">
        <f t="shared" si="63"/>
        <v>0</v>
      </c>
    </row>
    <row r="1152" spans="1:10" ht="12.75" hidden="1">
      <c r="A1152" s="158">
        <f t="shared" si="64"/>
        <v>1073</v>
      </c>
      <c r="B1152" s="4"/>
      <c r="C1152" s="79" t="s">
        <v>47</v>
      </c>
      <c r="D1152" s="25"/>
      <c r="E1152" s="46">
        <v>2200</v>
      </c>
      <c r="F1152" s="138"/>
      <c r="G1152" s="138"/>
      <c r="H1152" s="138"/>
      <c r="I1152" s="203" t="e">
        <f t="shared" si="65"/>
        <v>#DIV/0!</v>
      </c>
      <c r="J1152" s="203">
        <f t="shared" si="63"/>
        <v>0</v>
      </c>
    </row>
    <row r="1153" spans="1:10" ht="12.75">
      <c r="A1153" s="158">
        <f t="shared" si="64"/>
        <v>1074</v>
      </c>
      <c r="B1153" s="4">
        <v>4370</v>
      </c>
      <c r="C1153" s="79" t="s">
        <v>320</v>
      </c>
      <c r="D1153" s="25"/>
      <c r="E1153" s="46"/>
      <c r="F1153" s="138"/>
      <c r="G1153" s="138"/>
      <c r="H1153" s="138"/>
      <c r="I1153" s="203"/>
      <c r="J1153" s="203"/>
    </row>
    <row r="1154" spans="1:10" ht="12.75">
      <c r="A1154" s="158">
        <f t="shared" si="64"/>
        <v>1075</v>
      </c>
      <c r="B1154" s="4"/>
      <c r="C1154" s="79" t="s">
        <v>596</v>
      </c>
      <c r="D1154" s="25"/>
      <c r="E1154" s="46"/>
      <c r="F1154" s="138">
        <v>431</v>
      </c>
      <c r="G1154" s="138">
        <v>431</v>
      </c>
      <c r="H1154" s="138">
        <v>0</v>
      </c>
      <c r="I1154" s="203"/>
      <c r="J1154" s="203"/>
    </row>
    <row r="1155" spans="1:10" s="73" customFormat="1" ht="12.75">
      <c r="A1155" s="158">
        <f t="shared" si="64"/>
        <v>1076</v>
      </c>
      <c r="B1155" s="62">
        <v>85415</v>
      </c>
      <c r="C1155" s="68" t="s">
        <v>255</v>
      </c>
      <c r="D1155" s="63"/>
      <c r="E1155" s="72"/>
      <c r="F1155" s="148">
        <f>F1156</f>
        <v>122532</v>
      </c>
      <c r="G1155" s="148">
        <f>G1156</f>
        <v>56214.46000000001</v>
      </c>
      <c r="H1155" s="148">
        <f>H1156</f>
        <v>62000</v>
      </c>
      <c r="I1155" s="203">
        <f t="shared" si="65"/>
        <v>1.102919071000593</v>
      </c>
      <c r="J1155" s="203">
        <f>H1155/$H$1363</f>
        <v>0.0013486893654277316</v>
      </c>
    </row>
    <row r="1156" spans="1:10" ht="12.75">
      <c r="A1156" s="158">
        <f t="shared" si="64"/>
        <v>1077</v>
      </c>
      <c r="B1156" s="4">
        <v>3260</v>
      </c>
      <c r="C1156" s="79" t="s">
        <v>249</v>
      </c>
      <c r="D1156" s="25"/>
      <c r="E1156" s="46"/>
      <c r="F1156" s="138">
        <f>SUM(F1158:F1163)</f>
        <v>122532</v>
      </c>
      <c r="G1156" s="138">
        <f>SUM(G1158:G1163)</f>
        <v>56214.46000000001</v>
      </c>
      <c r="H1156" s="138">
        <f>SUM(H1158:H1163)</f>
        <v>62000</v>
      </c>
      <c r="I1156" s="203">
        <f t="shared" si="65"/>
        <v>1.102919071000593</v>
      </c>
      <c r="J1156" s="203">
        <f>H1156/$H$1363</f>
        <v>0.0013486893654277316</v>
      </c>
    </row>
    <row r="1157" spans="1:10" ht="12.75">
      <c r="A1157" s="158">
        <f t="shared" si="64"/>
        <v>1078</v>
      </c>
      <c r="B1157" s="4"/>
      <c r="C1157" s="79" t="s">
        <v>15</v>
      </c>
      <c r="D1157" s="25"/>
      <c r="E1157" s="46"/>
      <c r="F1157" s="138"/>
      <c r="G1157" s="138"/>
      <c r="H1157" s="138"/>
      <c r="I1157" s="203"/>
      <c r="J1157" s="203"/>
    </row>
    <row r="1158" spans="1:10" ht="12.75">
      <c r="A1158" s="158">
        <f t="shared" si="64"/>
        <v>1079</v>
      </c>
      <c r="B1158" s="4"/>
      <c r="C1158" s="79" t="s">
        <v>522</v>
      </c>
      <c r="D1158" s="25"/>
      <c r="E1158" s="46"/>
      <c r="F1158" s="138">
        <f>109525+4037</f>
        <v>113562</v>
      </c>
      <c r="G1158" s="138">
        <f>50000+4037</f>
        <v>54037</v>
      </c>
      <c r="H1158" s="138">
        <v>62000</v>
      </c>
      <c r="I1158" s="203">
        <f t="shared" si="65"/>
        <v>1.1473619927086995</v>
      </c>
      <c r="J1158" s="203">
        <f aca="true" t="shared" si="66" ref="J1158:J1165">H1158/$H$1363</f>
        <v>0.0013486893654277316</v>
      </c>
    </row>
    <row r="1159" spans="1:10" ht="12.75">
      <c r="A1159" s="158">
        <f t="shared" si="64"/>
        <v>1080</v>
      </c>
      <c r="B1159" s="4"/>
      <c r="C1159" s="79" t="s">
        <v>523</v>
      </c>
      <c r="D1159" s="25"/>
      <c r="E1159" s="46"/>
      <c r="F1159" s="138">
        <f>7027.84-F1163</f>
        <v>6792.54</v>
      </c>
      <c r="G1159" s="138">
        <v>0</v>
      </c>
      <c r="H1159" s="138">
        <v>0</v>
      </c>
      <c r="I1159" s="203"/>
      <c r="J1159" s="203">
        <f t="shared" si="66"/>
        <v>0</v>
      </c>
    </row>
    <row r="1160" spans="1:10" ht="12.75">
      <c r="A1160" s="158">
        <f t="shared" si="64"/>
        <v>1081</v>
      </c>
      <c r="B1160" s="4"/>
      <c r="C1160" s="79" t="s">
        <v>524</v>
      </c>
      <c r="D1160" s="25"/>
      <c r="E1160" s="46"/>
      <c r="F1160" s="138">
        <v>410</v>
      </c>
      <c r="G1160" s="138">
        <v>410</v>
      </c>
      <c r="H1160" s="138">
        <v>0</v>
      </c>
      <c r="I1160" s="203"/>
      <c r="J1160" s="203">
        <f t="shared" si="66"/>
        <v>0</v>
      </c>
    </row>
    <row r="1161" spans="1:10" ht="12.75">
      <c r="A1161" s="158">
        <f t="shared" si="64"/>
        <v>1082</v>
      </c>
      <c r="B1161" s="4"/>
      <c r="C1161" s="79" t="s">
        <v>525</v>
      </c>
      <c r="D1161" s="25"/>
      <c r="E1161" s="46"/>
      <c r="F1161" s="138">
        <v>1282.16</v>
      </c>
      <c r="G1161" s="138">
        <v>1282.16</v>
      </c>
      <c r="H1161" s="138">
        <v>0</v>
      </c>
      <c r="I1161" s="203"/>
      <c r="J1161" s="203">
        <f t="shared" si="66"/>
        <v>0</v>
      </c>
    </row>
    <row r="1162" spans="1:10" ht="12.75">
      <c r="A1162" s="158">
        <f t="shared" si="64"/>
        <v>1083</v>
      </c>
      <c r="B1162" s="4"/>
      <c r="C1162" s="79" t="s">
        <v>526</v>
      </c>
      <c r="D1162" s="25"/>
      <c r="E1162" s="46"/>
      <c r="F1162" s="138">
        <v>250</v>
      </c>
      <c r="G1162" s="138">
        <v>250</v>
      </c>
      <c r="H1162" s="138">
        <v>0</v>
      </c>
      <c r="I1162" s="203"/>
      <c r="J1162" s="203">
        <f t="shared" si="66"/>
        <v>0</v>
      </c>
    </row>
    <row r="1163" spans="1:10" ht="12.75">
      <c r="A1163" s="158">
        <f t="shared" si="64"/>
        <v>1084</v>
      </c>
      <c r="B1163" s="4"/>
      <c r="C1163" s="79" t="s">
        <v>527</v>
      </c>
      <c r="D1163" s="25"/>
      <c r="E1163" s="46"/>
      <c r="F1163" s="138">
        <v>235.3</v>
      </c>
      <c r="G1163" s="138">
        <v>235.3</v>
      </c>
      <c r="H1163" s="138">
        <v>0</v>
      </c>
      <c r="I1163" s="203"/>
      <c r="J1163" s="203">
        <f t="shared" si="66"/>
        <v>0</v>
      </c>
    </row>
    <row r="1164" spans="1:10" ht="12.75">
      <c r="A1164" s="158">
        <f t="shared" si="64"/>
        <v>1085</v>
      </c>
      <c r="B1164" s="62">
        <v>85446</v>
      </c>
      <c r="C1164" s="68" t="s">
        <v>184</v>
      </c>
      <c r="D1164" s="25"/>
      <c r="E1164" s="46"/>
      <c r="F1164" s="148">
        <f>F1165+F1170+F1176+F1180</f>
        <v>1118</v>
      </c>
      <c r="G1164" s="148">
        <f>G1165+G1170+G1176+G1180</f>
        <v>1118</v>
      </c>
      <c r="H1164" s="148">
        <f>H1165+H1170+H1176+H1180</f>
        <v>482</v>
      </c>
      <c r="I1164" s="203">
        <f t="shared" si="65"/>
        <v>0.43112701252236135</v>
      </c>
      <c r="J1164" s="203">
        <f t="shared" si="66"/>
        <v>1.0484972163486558E-05</v>
      </c>
    </row>
    <row r="1165" spans="1:10" ht="12.75">
      <c r="A1165" s="158">
        <f t="shared" si="64"/>
        <v>1086</v>
      </c>
      <c r="B1165" s="4">
        <v>3250</v>
      </c>
      <c r="C1165" s="79" t="s">
        <v>42</v>
      </c>
      <c r="D1165" s="25"/>
      <c r="E1165" s="46"/>
      <c r="F1165" s="138">
        <f>SUM(F1167:F1169)</f>
        <v>700</v>
      </c>
      <c r="G1165" s="138">
        <f>SUM(G1167:G1169)</f>
        <v>700</v>
      </c>
      <c r="H1165" s="138">
        <f>SUM(H1167:H1169)</f>
        <v>0</v>
      </c>
      <c r="I1165" s="203">
        <f t="shared" si="65"/>
        <v>0</v>
      </c>
      <c r="J1165" s="203">
        <f t="shared" si="66"/>
        <v>0</v>
      </c>
    </row>
    <row r="1166" spans="1:10" ht="12.75">
      <c r="A1166" s="158">
        <f t="shared" si="64"/>
        <v>1087</v>
      </c>
      <c r="B1166" s="4"/>
      <c r="C1166" s="79" t="s">
        <v>15</v>
      </c>
      <c r="D1166" s="25"/>
      <c r="E1166" s="46"/>
      <c r="F1166" s="138"/>
      <c r="G1166" s="138"/>
      <c r="H1166" s="138"/>
      <c r="I1166" s="203"/>
      <c r="J1166" s="203"/>
    </row>
    <row r="1167" spans="1:10" ht="12.75">
      <c r="A1167" s="158">
        <f t="shared" si="64"/>
        <v>1088</v>
      </c>
      <c r="B1167" s="4"/>
      <c r="C1167" s="79" t="s">
        <v>147</v>
      </c>
      <c r="D1167" s="25"/>
      <c r="E1167" s="46"/>
      <c r="F1167" s="138">
        <v>0</v>
      </c>
      <c r="G1167" s="138">
        <v>0</v>
      </c>
      <c r="H1167" s="138">
        <v>0</v>
      </c>
      <c r="I1167" s="203"/>
      <c r="J1167" s="203">
        <f>H1167/$H$1363</f>
        <v>0</v>
      </c>
    </row>
    <row r="1168" spans="1:10" ht="12.75">
      <c r="A1168" s="158">
        <f t="shared" si="64"/>
        <v>1089</v>
      </c>
      <c r="B1168" s="4"/>
      <c r="C1168" s="79" t="s">
        <v>148</v>
      </c>
      <c r="D1168" s="25"/>
      <c r="E1168" s="46"/>
      <c r="F1168" s="138">
        <v>0</v>
      </c>
      <c r="G1168" s="138">
        <v>0</v>
      </c>
      <c r="H1168" s="138">
        <v>0</v>
      </c>
      <c r="I1168" s="203"/>
      <c r="J1168" s="203">
        <f>H1168/$H$1363</f>
        <v>0</v>
      </c>
    </row>
    <row r="1169" spans="1:10" ht="12.75">
      <c r="A1169" s="158">
        <f t="shared" si="64"/>
        <v>1090</v>
      </c>
      <c r="B1169" s="4"/>
      <c r="C1169" s="79" t="s">
        <v>47</v>
      </c>
      <c r="D1169" s="25"/>
      <c r="E1169" s="46"/>
      <c r="F1169" s="138">
        <v>700</v>
      </c>
      <c r="G1169" s="138">
        <v>700</v>
      </c>
      <c r="H1169" s="138">
        <v>0</v>
      </c>
      <c r="I1169" s="203">
        <f t="shared" si="65"/>
        <v>0</v>
      </c>
      <c r="J1169" s="203">
        <f>H1169/$H$1363</f>
        <v>0</v>
      </c>
    </row>
    <row r="1170" spans="1:10" ht="12.75">
      <c r="A1170" s="158">
        <f t="shared" si="64"/>
        <v>1091</v>
      </c>
      <c r="B1170" s="4">
        <v>4300</v>
      </c>
      <c r="C1170" s="79" t="s">
        <v>145</v>
      </c>
      <c r="D1170" s="25"/>
      <c r="E1170" s="46"/>
      <c r="F1170" s="138">
        <f>SUM(F1172:F1175)</f>
        <v>0</v>
      </c>
      <c r="G1170" s="138">
        <f>SUM(G1172:G1175)</f>
        <v>0</v>
      </c>
      <c r="H1170" s="138">
        <f>SUM(H1172:H1175)</f>
        <v>0</v>
      </c>
      <c r="I1170" s="203"/>
      <c r="J1170" s="203">
        <f>H1170/$H$1363</f>
        <v>0</v>
      </c>
    </row>
    <row r="1171" spans="1:10" ht="12.75">
      <c r="A1171" s="158">
        <f t="shared" si="64"/>
        <v>1092</v>
      </c>
      <c r="B1171" s="4"/>
      <c r="C1171" s="79" t="s">
        <v>15</v>
      </c>
      <c r="D1171" s="25"/>
      <c r="E1171" s="46"/>
      <c r="F1171" s="138"/>
      <c r="G1171" s="138"/>
      <c r="H1171" s="138"/>
      <c r="I1171" s="203"/>
      <c r="J1171" s="203"/>
    </row>
    <row r="1172" spans="1:10" ht="12.75">
      <c r="A1172" s="158">
        <f t="shared" si="64"/>
        <v>1093</v>
      </c>
      <c r="B1172" s="4"/>
      <c r="C1172" s="79" t="s">
        <v>147</v>
      </c>
      <c r="D1172" s="25"/>
      <c r="E1172" s="46"/>
      <c r="F1172" s="138">
        <v>0</v>
      </c>
      <c r="G1172" s="138">
        <v>0</v>
      </c>
      <c r="H1172" s="138">
        <v>0</v>
      </c>
      <c r="I1172" s="203"/>
      <c r="J1172" s="203">
        <f>H1172/$H$1363</f>
        <v>0</v>
      </c>
    </row>
    <row r="1173" spans="1:10" ht="12.75">
      <c r="A1173" s="158">
        <f t="shared" si="64"/>
        <v>1094</v>
      </c>
      <c r="B1173" s="4"/>
      <c r="C1173" s="79" t="s">
        <v>148</v>
      </c>
      <c r="D1173" s="25"/>
      <c r="E1173" s="46"/>
      <c r="F1173" s="138">
        <v>0</v>
      </c>
      <c r="G1173" s="138">
        <v>0</v>
      </c>
      <c r="H1173" s="138">
        <v>0</v>
      </c>
      <c r="I1173" s="203"/>
      <c r="J1173" s="203">
        <f>H1173/$H$1363</f>
        <v>0</v>
      </c>
    </row>
    <row r="1174" spans="1:10" ht="12.75">
      <c r="A1174" s="158">
        <f t="shared" si="64"/>
        <v>1095</v>
      </c>
      <c r="B1174" s="4"/>
      <c r="C1174" s="79" t="s">
        <v>47</v>
      </c>
      <c r="D1174" s="25"/>
      <c r="E1174" s="46"/>
      <c r="F1174" s="138">
        <v>0</v>
      </c>
      <c r="G1174" s="138">
        <v>0</v>
      </c>
      <c r="H1174" s="138">
        <v>0</v>
      </c>
      <c r="I1174" s="203"/>
      <c r="J1174" s="203">
        <f>H1174/$H$1363</f>
        <v>0</v>
      </c>
    </row>
    <row r="1175" spans="1:10" ht="12.75">
      <c r="A1175" s="158">
        <f t="shared" si="64"/>
        <v>1096</v>
      </c>
      <c r="B1175" s="4"/>
      <c r="C1175" s="79" t="s">
        <v>185</v>
      </c>
      <c r="D1175" s="25"/>
      <c r="E1175" s="46"/>
      <c r="F1175" s="138">
        <v>0</v>
      </c>
      <c r="G1175" s="138">
        <v>0</v>
      </c>
      <c r="H1175" s="138">
        <v>0</v>
      </c>
      <c r="I1175" s="203"/>
      <c r="J1175" s="203">
        <f>H1175/$H$1363</f>
        <v>0</v>
      </c>
    </row>
    <row r="1176" spans="1:10" ht="12.75">
      <c r="A1176" s="158">
        <f t="shared" si="64"/>
        <v>1097</v>
      </c>
      <c r="B1176" s="4">
        <v>4410</v>
      </c>
      <c r="C1176" s="79" t="s">
        <v>29</v>
      </c>
      <c r="D1176" s="25"/>
      <c r="E1176" s="46"/>
      <c r="F1176" s="138">
        <f>SUM(F1178)</f>
        <v>418</v>
      </c>
      <c r="G1176" s="138">
        <f>SUM(G1178)</f>
        <v>418</v>
      </c>
      <c r="H1176" s="138">
        <f>SUM(H1178)</f>
        <v>282</v>
      </c>
      <c r="I1176" s="203">
        <f t="shared" si="65"/>
        <v>0.6746411483253588</v>
      </c>
      <c r="J1176" s="203">
        <f>H1176/$H$1363</f>
        <v>6.1343613072680694E-06</v>
      </c>
    </row>
    <row r="1177" spans="1:10" ht="12.75">
      <c r="A1177" s="158">
        <f t="shared" si="64"/>
        <v>1098</v>
      </c>
      <c r="B1177" s="4"/>
      <c r="C1177" s="79" t="s">
        <v>15</v>
      </c>
      <c r="D1177" s="25"/>
      <c r="E1177" s="46"/>
      <c r="F1177" s="138"/>
      <c r="G1177" s="138"/>
      <c r="H1177" s="138"/>
      <c r="I1177" s="203"/>
      <c r="J1177" s="203"/>
    </row>
    <row r="1178" spans="1:10" ht="12.75">
      <c r="A1178" s="158">
        <f t="shared" si="64"/>
        <v>1099</v>
      </c>
      <c r="B1178" s="4"/>
      <c r="C1178" s="79" t="s">
        <v>147</v>
      </c>
      <c r="D1178" s="25"/>
      <c r="E1178" s="46"/>
      <c r="F1178" s="138">
        <v>418</v>
      </c>
      <c r="G1178" s="138">
        <v>418</v>
      </c>
      <c r="H1178" s="138">
        <v>282</v>
      </c>
      <c r="I1178" s="203">
        <f t="shared" si="65"/>
        <v>0.6746411483253588</v>
      </c>
      <c r="J1178" s="203">
        <f>H1178/$H$1363</f>
        <v>6.1343613072680694E-06</v>
      </c>
    </row>
    <row r="1179" spans="1:10" ht="12.75">
      <c r="A1179" s="158">
        <f t="shared" si="64"/>
        <v>1100</v>
      </c>
      <c r="B1179" s="4">
        <v>4700</v>
      </c>
      <c r="C1179" s="79" t="s">
        <v>340</v>
      </c>
      <c r="D1179" s="25"/>
      <c r="E1179" s="46"/>
      <c r="F1179" s="138"/>
      <c r="G1179" s="138"/>
      <c r="H1179" s="138"/>
      <c r="I1179" s="203"/>
      <c r="J1179" s="203"/>
    </row>
    <row r="1180" spans="1:10" ht="12.75">
      <c r="A1180" s="158">
        <f t="shared" si="64"/>
        <v>1101</v>
      </c>
      <c r="B1180" s="4"/>
      <c r="C1180" s="79" t="s">
        <v>341</v>
      </c>
      <c r="D1180" s="25"/>
      <c r="E1180" s="46"/>
      <c r="F1180" s="138">
        <f>SUM(F1182)</f>
        <v>0</v>
      </c>
      <c r="G1180" s="138">
        <f>SUM(G1182)</f>
        <v>0</v>
      </c>
      <c r="H1180" s="138">
        <f>SUM(H1182)</f>
        <v>200</v>
      </c>
      <c r="I1180" s="203"/>
      <c r="J1180" s="203">
        <f>H1180/$H$1363</f>
        <v>4.350610856218489E-06</v>
      </c>
    </row>
    <row r="1181" spans="1:10" ht="12.75">
      <c r="A1181" s="158">
        <f t="shared" si="64"/>
        <v>1102</v>
      </c>
      <c r="B1181" s="4"/>
      <c r="C1181" s="79" t="s">
        <v>15</v>
      </c>
      <c r="D1181" s="25"/>
      <c r="E1181" s="46"/>
      <c r="F1181" s="138"/>
      <c r="G1181" s="138"/>
      <c r="H1181" s="138"/>
      <c r="I1181" s="203"/>
      <c r="J1181" s="203"/>
    </row>
    <row r="1182" spans="1:10" ht="12.75">
      <c r="A1182" s="158">
        <f t="shared" si="64"/>
        <v>1103</v>
      </c>
      <c r="B1182" s="4"/>
      <c r="C1182" s="79" t="s">
        <v>147</v>
      </c>
      <c r="D1182" s="25"/>
      <c r="E1182" s="46"/>
      <c r="F1182" s="138">
        <v>0</v>
      </c>
      <c r="G1182" s="138">
        <v>0</v>
      </c>
      <c r="H1182" s="138">
        <v>200</v>
      </c>
      <c r="I1182" s="203"/>
      <c r="J1182" s="203">
        <f>H1182/$H$1363</f>
        <v>4.350610856218489E-06</v>
      </c>
    </row>
    <row r="1183" spans="1:10" ht="12.75">
      <c r="A1183" s="158"/>
      <c r="B1183" s="4"/>
      <c r="C1183" s="79"/>
      <c r="D1183" s="25"/>
      <c r="E1183" s="46"/>
      <c r="F1183" s="138"/>
      <c r="G1183" s="138"/>
      <c r="H1183" s="138"/>
      <c r="I1183" s="203"/>
      <c r="J1183" s="203"/>
    </row>
    <row r="1184" spans="1:10" ht="12.75">
      <c r="A1184" s="158"/>
      <c r="B1184" s="4"/>
      <c r="C1184" s="79"/>
      <c r="D1184" s="25"/>
      <c r="E1184" s="46"/>
      <c r="F1184" s="138"/>
      <c r="G1184" s="138"/>
      <c r="H1184" s="138"/>
      <c r="I1184" s="203"/>
      <c r="J1184" s="203"/>
    </row>
    <row r="1185" spans="1:10" ht="12.75">
      <c r="A1185" s="158"/>
      <c r="B1185" s="4"/>
      <c r="C1185" s="79"/>
      <c r="D1185" s="25"/>
      <c r="E1185" s="46"/>
      <c r="F1185" s="138"/>
      <c r="G1185" s="138"/>
      <c r="H1185" s="138"/>
      <c r="I1185" s="203"/>
      <c r="J1185" s="203"/>
    </row>
    <row r="1186" spans="1:10" s="73" customFormat="1" ht="12.75">
      <c r="A1186" s="158">
        <f>A1182+1</f>
        <v>1104</v>
      </c>
      <c r="B1186" s="62">
        <v>85495</v>
      </c>
      <c r="C1186" s="68" t="s">
        <v>25</v>
      </c>
      <c r="D1186" s="63"/>
      <c r="E1186" s="72"/>
      <c r="F1186" s="148">
        <f>F1188</f>
        <v>1490</v>
      </c>
      <c r="G1186" s="148">
        <f>G1188</f>
        <v>1490</v>
      </c>
      <c r="H1186" s="148">
        <f>H1188</f>
        <v>1480</v>
      </c>
      <c r="I1186" s="203">
        <f t="shared" si="65"/>
        <v>0.9932885906040269</v>
      </c>
      <c r="J1186" s="203">
        <f>H1186/$H$1363</f>
        <v>3.219452033601682E-05</v>
      </c>
    </row>
    <row r="1187" spans="1:10" ht="12.75">
      <c r="A1187" s="158">
        <f t="shared" si="64"/>
        <v>1105</v>
      </c>
      <c r="B1187" s="4">
        <v>4440</v>
      </c>
      <c r="C1187" s="79" t="s">
        <v>679</v>
      </c>
      <c r="D1187" s="25"/>
      <c r="E1187" s="46"/>
      <c r="F1187" s="138"/>
      <c r="G1187" s="138"/>
      <c r="H1187" s="138"/>
      <c r="I1187" s="203"/>
      <c r="J1187" s="203"/>
    </row>
    <row r="1188" spans="1:10" ht="12.75">
      <c r="A1188" s="158">
        <f t="shared" si="64"/>
        <v>1106</v>
      </c>
      <c r="B1188" s="4"/>
      <c r="C1188" s="79" t="s">
        <v>224</v>
      </c>
      <c r="D1188" s="25"/>
      <c r="E1188" s="46"/>
      <c r="F1188" s="138">
        <f>SUM(F1190:F1191)</f>
        <v>1490</v>
      </c>
      <c r="G1188" s="138">
        <f>SUM(G1190:G1191)</f>
        <v>1490</v>
      </c>
      <c r="H1188" s="138">
        <f>SUM(H1190:H1191)</f>
        <v>1480</v>
      </c>
      <c r="I1188" s="203">
        <f t="shared" si="65"/>
        <v>0.9932885906040269</v>
      </c>
      <c r="J1188" s="203">
        <f>H1188/$H$1363</f>
        <v>3.219452033601682E-05</v>
      </c>
    </row>
    <row r="1189" spans="1:10" ht="12.75">
      <c r="A1189" s="158">
        <f t="shared" si="64"/>
        <v>1107</v>
      </c>
      <c r="B1189" s="4"/>
      <c r="C1189" s="79" t="s">
        <v>15</v>
      </c>
      <c r="D1189" s="25"/>
      <c r="E1189" s="46"/>
      <c r="F1189" s="138"/>
      <c r="G1189" s="138"/>
      <c r="H1189" s="138"/>
      <c r="I1189" s="203"/>
      <c r="J1189" s="203"/>
    </row>
    <row r="1190" spans="1:10" ht="12.75">
      <c r="A1190" s="158">
        <f t="shared" si="64"/>
        <v>1108</v>
      </c>
      <c r="B1190" s="4"/>
      <c r="C1190" s="79" t="s">
        <v>147</v>
      </c>
      <c r="D1190" s="25"/>
      <c r="E1190" s="46"/>
      <c r="F1190" s="138">
        <v>890</v>
      </c>
      <c r="G1190" s="138">
        <v>890</v>
      </c>
      <c r="H1190" s="138">
        <v>880</v>
      </c>
      <c r="I1190" s="203">
        <f t="shared" si="65"/>
        <v>0.9887640449438202</v>
      </c>
      <c r="J1190" s="203">
        <f>H1190/$H$1363</f>
        <v>1.9142687767361353E-05</v>
      </c>
    </row>
    <row r="1191" spans="1:10" ht="12.75">
      <c r="A1191" s="158">
        <f t="shared" si="64"/>
        <v>1109</v>
      </c>
      <c r="B1191" s="4"/>
      <c r="C1191" s="79" t="s">
        <v>47</v>
      </c>
      <c r="D1191" s="25"/>
      <c r="E1191" s="46"/>
      <c r="F1191" s="138">
        <v>600</v>
      </c>
      <c r="G1191" s="138">
        <v>600</v>
      </c>
      <c r="H1191" s="138">
        <v>600</v>
      </c>
      <c r="I1191" s="203">
        <f t="shared" si="65"/>
        <v>1</v>
      </c>
      <c r="J1191" s="203">
        <f>H1191/$H$1363</f>
        <v>1.3051832568655468E-05</v>
      </c>
    </row>
    <row r="1192" spans="1:10" s="70" customFormat="1" ht="12.75">
      <c r="A1192" s="158">
        <f t="shared" si="64"/>
        <v>1110</v>
      </c>
      <c r="B1192" s="56">
        <v>900</v>
      </c>
      <c r="C1192" s="78" t="s">
        <v>119</v>
      </c>
      <c r="D1192" s="58"/>
      <c r="E1192" s="71"/>
      <c r="F1192" s="151"/>
      <c r="G1192" s="151"/>
      <c r="H1192" s="151"/>
      <c r="I1192" s="203"/>
      <c r="J1192" s="203"/>
    </row>
    <row r="1193" spans="1:10" s="70" customFormat="1" ht="12.75">
      <c r="A1193" s="158">
        <f t="shared" si="64"/>
        <v>1111</v>
      </c>
      <c r="B1193" s="61"/>
      <c r="C1193" s="78" t="s">
        <v>120</v>
      </c>
      <c r="D1193" s="58"/>
      <c r="E1193" s="59" t="e">
        <f>#REF!+E1194+E1208+E1222+E1234+E1250</f>
        <v>#REF!</v>
      </c>
      <c r="F1193" s="58">
        <f>F1194+F1208+F1222+F1234+F1250</f>
        <v>4005810.08</v>
      </c>
      <c r="G1193" s="58">
        <f>G1194+G1208+G1222+G1234+G1250</f>
        <v>3091445.23</v>
      </c>
      <c r="H1193" s="58">
        <f>H1194+H1208+H1222+H1234+H1250</f>
        <v>6577552</v>
      </c>
      <c r="I1193" s="203">
        <f t="shared" si="65"/>
        <v>2.1276624719629917</v>
      </c>
      <c r="J1193" s="203">
        <f>H1193/$H$1363</f>
        <v>0.14308184569270818</v>
      </c>
    </row>
    <row r="1194" spans="1:10" s="73" customFormat="1" ht="12.75">
      <c r="A1194" s="158">
        <f t="shared" si="64"/>
        <v>1112</v>
      </c>
      <c r="B1194" s="62">
        <v>90003</v>
      </c>
      <c r="C1194" s="68" t="s">
        <v>121</v>
      </c>
      <c r="D1194" s="63"/>
      <c r="E1194" s="64" t="e">
        <f>+#REF!+E1195+E1196</f>
        <v>#REF!</v>
      </c>
      <c r="F1194" s="63">
        <f>+F1195+F1196</f>
        <v>1005500</v>
      </c>
      <c r="G1194" s="63">
        <f>+G1195+G1196</f>
        <v>1005499.91</v>
      </c>
      <c r="H1194" s="63">
        <f>+H1195+H1196</f>
        <v>1045000</v>
      </c>
      <c r="I1194" s="203">
        <f t="shared" si="65"/>
        <v>1.039284031363066</v>
      </c>
      <c r="J1194" s="203">
        <f>H1194/$H$1363</f>
        <v>0.022731941723741607</v>
      </c>
    </row>
    <row r="1195" spans="1:10" s="73" customFormat="1" ht="12.75">
      <c r="A1195" s="158">
        <f t="shared" si="64"/>
        <v>1113</v>
      </c>
      <c r="B1195" s="14">
        <v>4210</v>
      </c>
      <c r="C1195" s="79" t="s">
        <v>136</v>
      </c>
      <c r="D1195" s="63"/>
      <c r="E1195" s="83">
        <v>30000</v>
      </c>
      <c r="F1195" s="144">
        <v>10000</v>
      </c>
      <c r="G1195" s="144">
        <v>9999.91</v>
      </c>
      <c r="H1195" s="144">
        <v>0</v>
      </c>
      <c r="I1195" s="203">
        <f t="shared" si="65"/>
        <v>0</v>
      </c>
      <c r="J1195" s="203">
        <f>H1195/$H$1363</f>
        <v>0</v>
      </c>
    </row>
    <row r="1196" spans="1:10" ht="12.75">
      <c r="A1196" s="158">
        <f t="shared" si="64"/>
        <v>1114</v>
      </c>
      <c r="B1196" s="12">
        <v>4300</v>
      </c>
      <c r="C1196" s="79" t="s">
        <v>134</v>
      </c>
      <c r="D1196" s="25"/>
      <c r="E1196" s="47">
        <f>SUM(E1198:E1205)</f>
        <v>666200</v>
      </c>
      <c r="F1196" s="23">
        <f>SUM(F1198:F1207)</f>
        <v>995500</v>
      </c>
      <c r="G1196" s="23">
        <f>SUM(G1198:G1207)</f>
        <v>995500</v>
      </c>
      <c r="H1196" s="23">
        <f>SUM(H1198:H1207)</f>
        <v>1045000</v>
      </c>
      <c r="I1196" s="203">
        <f t="shared" si="65"/>
        <v>1.0497237569060773</v>
      </c>
      <c r="J1196" s="203">
        <f>H1196/$H$1363</f>
        <v>0.022731941723741607</v>
      </c>
    </row>
    <row r="1197" spans="1:10" ht="12.75">
      <c r="A1197" s="158">
        <f t="shared" si="64"/>
        <v>1115</v>
      </c>
      <c r="B1197" s="53"/>
      <c r="C1197" s="79" t="s">
        <v>15</v>
      </c>
      <c r="D1197" s="25"/>
      <c r="E1197" s="46"/>
      <c r="F1197" s="138"/>
      <c r="G1197" s="138"/>
      <c r="H1197" s="138"/>
      <c r="I1197" s="203"/>
      <c r="J1197" s="203"/>
    </row>
    <row r="1198" spans="1:10" ht="12.75">
      <c r="A1198" s="158">
        <f t="shared" si="64"/>
        <v>1116</v>
      </c>
      <c r="B1198" s="13"/>
      <c r="C1198" s="79" t="s">
        <v>256</v>
      </c>
      <c r="D1198" s="25"/>
      <c r="E1198" s="46">
        <v>500000</v>
      </c>
      <c r="F1198" s="138">
        <v>335000</v>
      </c>
      <c r="G1198" s="138">
        <v>335000</v>
      </c>
      <c r="H1198" s="138">
        <v>550000</v>
      </c>
      <c r="I1198" s="203">
        <f t="shared" si="65"/>
        <v>1.6417910447761195</v>
      </c>
      <c r="J1198" s="203">
        <f aca="true" t="shared" si="67" ref="J1198:J1211">H1198/$H$1363</f>
        <v>0.011964179854600845</v>
      </c>
    </row>
    <row r="1199" spans="1:10" ht="12.75">
      <c r="A1199" s="158">
        <f t="shared" si="64"/>
        <v>1117</v>
      </c>
      <c r="B1199" s="4"/>
      <c r="C1199" s="79" t="s">
        <v>21</v>
      </c>
      <c r="D1199" s="25"/>
      <c r="E1199" s="46">
        <v>100000</v>
      </c>
      <c r="F1199" s="138">
        <v>198000</v>
      </c>
      <c r="G1199" s="138">
        <v>198000</v>
      </c>
      <c r="H1199" s="138">
        <v>200000</v>
      </c>
      <c r="I1199" s="203">
        <f t="shared" si="65"/>
        <v>1.0101010101010102</v>
      </c>
      <c r="J1199" s="203">
        <f t="shared" si="67"/>
        <v>0.004350610856218489</v>
      </c>
    </row>
    <row r="1200" spans="1:10" ht="12.75">
      <c r="A1200" s="158">
        <f t="shared" si="64"/>
        <v>1118</v>
      </c>
      <c r="B1200" s="4"/>
      <c r="C1200" s="79" t="s">
        <v>469</v>
      </c>
      <c r="D1200" s="25"/>
      <c r="E1200" s="46">
        <v>50000</v>
      </c>
      <c r="F1200" s="138">
        <v>42500</v>
      </c>
      <c r="G1200" s="138">
        <v>42500</v>
      </c>
      <c r="H1200" s="138">
        <v>100000</v>
      </c>
      <c r="I1200" s="203">
        <f t="shared" si="65"/>
        <v>2.3529411764705883</v>
      </c>
      <c r="J1200" s="203">
        <f t="shared" si="67"/>
        <v>0.0021753054281092444</v>
      </c>
    </row>
    <row r="1201" spans="1:10" ht="12.75">
      <c r="A1201" s="158">
        <f t="shared" si="64"/>
        <v>1119</v>
      </c>
      <c r="B1201" s="4"/>
      <c r="C1201" s="79" t="s">
        <v>324</v>
      </c>
      <c r="D1201" s="25"/>
      <c r="E1201" s="46"/>
      <c r="F1201" s="138">
        <v>43000</v>
      </c>
      <c r="G1201" s="138">
        <v>43000</v>
      </c>
      <c r="H1201" s="138"/>
      <c r="I1201" s="203">
        <f t="shared" si="65"/>
        <v>0</v>
      </c>
      <c r="J1201" s="203">
        <f t="shared" si="67"/>
        <v>0</v>
      </c>
    </row>
    <row r="1202" spans="1:10" ht="12.75">
      <c r="A1202" s="158">
        <f t="shared" si="64"/>
        <v>1120</v>
      </c>
      <c r="B1202" s="4"/>
      <c r="C1202" s="79" t="s">
        <v>22</v>
      </c>
      <c r="D1202" s="25"/>
      <c r="E1202" s="46">
        <v>2000</v>
      </c>
      <c r="F1202" s="138">
        <v>1000</v>
      </c>
      <c r="G1202" s="138">
        <v>1000</v>
      </c>
      <c r="H1202" s="138">
        <v>10000</v>
      </c>
      <c r="I1202" s="203">
        <f t="shared" si="65"/>
        <v>10</v>
      </c>
      <c r="J1202" s="203">
        <f t="shared" si="67"/>
        <v>0.00021753054281092445</v>
      </c>
    </row>
    <row r="1203" spans="1:10" ht="12.75">
      <c r="A1203" s="158">
        <f t="shared" si="64"/>
        <v>1121</v>
      </c>
      <c r="B1203" s="4"/>
      <c r="C1203" s="79" t="s">
        <v>23</v>
      </c>
      <c r="D1203" s="25"/>
      <c r="E1203" s="46">
        <v>14200</v>
      </c>
      <c r="F1203" s="138">
        <v>25000</v>
      </c>
      <c r="G1203" s="138">
        <v>25000</v>
      </c>
      <c r="H1203" s="138">
        <v>25000</v>
      </c>
      <c r="I1203" s="203">
        <f t="shared" si="65"/>
        <v>1</v>
      </c>
      <c r="J1203" s="203">
        <f t="shared" si="67"/>
        <v>0.0005438263570273111</v>
      </c>
    </row>
    <row r="1204" spans="1:10" ht="12.75">
      <c r="A1204" s="158">
        <f t="shared" si="64"/>
        <v>1122</v>
      </c>
      <c r="B1204" s="4"/>
      <c r="C1204" s="79" t="s">
        <v>325</v>
      </c>
      <c r="D1204" s="25"/>
      <c r="E1204" s="46"/>
      <c r="F1204" s="138">
        <v>238000</v>
      </c>
      <c r="G1204" s="138">
        <v>238000</v>
      </c>
      <c r="H1204" s="138"/>
      <c r="I1204" s="203">
        <f t="shared" si="65"/>
        <v>0</v>
      </c>
      <c r="J1204" s="203">
        <f t="shared" si="67"/>
        <v>0</v>
      </c>
    </row>
    <row r="1205" spans="1:10" ht="12.75">
      <c r="A1205" s="158">
        <f t="shared" si="64"/>
        <v>1123</v>
      </c>
      <c r="B1205" s="4"/>
      <c r="C1205" s="79" t="s">
        <v>546</v>
      </c>
      <c r="D1205" s="25"/>
      <c r="E1205" s="46">
        <v>0</v>
      </c>
      <c r="F1205" s="138">
        <v>43000</v>
      </c>
      <c r="G1205" s="138">
        <v>43000</v>
      </c>
      <c r="H1205" s="138">
        <v>50000</v>
      </c>
      <c r="I1205" s="203">
        <f t="shared" si="65"/>
        <v>1.1627906976744187</v>
      </c>
      <c r="J1205" s="203">
        <f t="shared" si="67"/>
        <v>0.0010876527140546222</v>
      </c>
    </row>
    <row r="1206" spans="1:10" ht="12.75">
      <c r="A1206" s="158">
        <f t="shared" si="64"/>
        <v>1124</v>
      </c>
      <c r="B1206" s="4"/>
      <c r="C1206" s="79" t="s">
        <v>181</v>
      </c>
      <c r="D1206" s="25"/>
      <c r="E1206" s="46"/>
      <c r="F1206" s="138">
        <v>10000</v>
      </c>
      <c r="G1206" s="138">
        <v>10000</v>
      </c>
      <c r="H1206" s="138">
        <v>10000</v>
      </c>
      <c r="I1206" s="203">
        <f t="shared" si="65"/>
        <v>1</v>
      </c>
      <c r="J1206" s="203">
        <f t="shared" si="67"/>
        <v>0.00021753054281092445</v>
      </c>
    </row>
    <row r="1207" spans="1:10" ht="12.75">
      <c r="A1207" s="158">
        <f aca="true" t="shared" si="68" ref="A1207:A1270">A1206+1</f>
        <v>1125</v>
      </c>
      <c r="B1207" s="4"/>
      <c r="C1207" s="79" t="s">
        <v>528</v>
      </c>
      <c r="D1207" s="25"/>
      <c r="E1207" s="46"/>
      <c r="F1207" s="138">
        <v>60000</v>
      </c>
      <c r="G1207" s="138">
        <v>60000</v>
      </c>
      <c r="H1207" s="138">
        <v>100000</v>
      </c>
      <c r="I1207" s="203">
        <f t="shared" si="65"/>
        <v>1.6666666666666667</v>
      </c>
      <c r="J1207" s="203">
        <f t="shared" si="67"/>
        <v>0.0021753054281092444</v>
      </c>
    </row>
    <row r="1208" spans="1:10" s="73" customFormat="1" ht="12.75">
      <c r="A1208" s="158">
        <f t="shared" si="68"/>
        <v>1126</v>
      </c>
      <c r="B1208" s="62">
        <v>90004</v>
      </c>
      <c r="C1208" s="68" t="s">
        <v>122</v>
      </c>
      <c r="D1208" s="63"/>
      <c r="E1208" s="64">
        <f>E1209+E1210+E1211</f>
        <v>278300</v>
      </c>
      <c r="F1208" s="63">
        <f>F1209+F1210+F1211+F1217</f>
        <v>214100</v>
      </c>
      <c r="G1208" s="63">
        <f>G1209+G1210+G1211+G1217</f>
        <v>162454</v>
      </c>
      <c r="H1208" s="63">
        <f>H1209+H1210+H1211+H1217</f>
        <v>493500</v>
      </c>
      <c r="I1208" s="203">
        <f t="shared" si="65"/>
        <v>3.037783003188595</v>
      </c>
      <c r="J1208" s="203">
        <f t="shared" si="67"/>
        <v>0.010735132287719122</v>
      </c>
    </row>
    <row r="1209" spans="1:10" s="19" customFormat="1" ht="15" customHeight="1">
      <c r="A1209" s="158">
        <f t="shared" si="68"/>
        <v>1127</v>
      </c>
      <c r="B1209" s="14">
        <v>4210</v>
      </c>
      <c r="C1209" s="79" t="s">
        <v>136</v>
      </c>
      <c r="D1209" s="25"/>
      <c r="E1209" s="46">
        <v>50000</v>
      </c>
      <c r="F1209" s="138">
        <v>8600</v>
      </c>
      <c r="G1209" s="138">
        <v>6954</v>
      </c>
      <c r="H1209" s="138">
        <v>10000</v>
      </c>
      <c r="I1209" s="203">
        <f t="shared" si="65"/>
        <v>1.438021282714984</v>
      </c>
      <c r="J1209" s="203">
        <f t="shared" si="67"/>
        <v>0.00021753054281092445</v>
      </c>
    </row>
    <row r="1210" spans="1:10" s="32" customFormat="1" ht="15" customHeight="1">
      <c r="A1210" s="158">
        <f t="shared" si="68"/>
        <v>1128</v>
      </c>
      <c r="B1210" s="14">
        <v>4260</v>
      </c>
      <c r="C1210" s="119" t="s">
        <v>138</v>
      </c>
      <c r="D1210" s="25"/>
      <c r="E1210" s="46">
        <v>5300</v>
      </c>
      <c r="F1210" s="138">
        <v>2500</v>
      </c>
      <c r="G1210" s="138">
        <v>2500</v>
      </c>
      <c r="H1210" s="138">
        <f>2500+3000</f>
        <v>5500</v>
      </c>
      <c r="I1210" s="203">
        <f t="shared" si="65"/>
        <v>2.2</v>
      </c>
      <c r="J1210" s="203">
        <f t="shared" si="67"/>
        <v>0.00011964179854600845</v>
      </c>
    </row>
    <row r="1211" spans="1:10" ht="15" customHeight="1">
      <c r="A1211" s="158">
        <f t="shared" si="68"/>
        <v>1129</v>
      </c>
      <c r="B1211" s="4">
        <v>4300</v>
      </c>
      <c r="C1211" s="79" t="s">
        <v>134</v>
      </c>
      <c r="D1211" s="25"/>
      <c r="E1211" s="47">
        <f>SUM(E1213:E1216)</f>
        <v>223000</v>
      </c>
      <c r="F1211" s="23">
        <f>SUM(F1213:F1216)</f>
        <v>153000</v>
      </c>
      <c r="G1211" s="23">
        <f>SUM(G1213:G1216)</f>
        <v>153000</v>
      </c>
      <c r="H1211" s="23">
        <f>SUM(H1213:H1216)</f>
        <v>178000</v>
      </c>
      <c r="I1211" s="203">
        <f t="shared" si="65"/>
        <v>1.1633986928104576</v>
      </c>
      <c r="J1211" s="203">
        <f t="shared" si="67"/>
        <v>0.0038720436620344554</v>
      </c>
    </row>
    <row r="1212" spans="1:10" ht="15" customHeight="1">
      <c r="A1212" s="158">
        <f t="shared" si="68"/>
        <v>1130</v>
      </c>
      <c r="B1212" s="4"/>
      <c r="C1212" s="79" t="s">
        <v>15</v>
      </c>
      <c r="D1212" s="25"/>
      <c r="E1212" s="46"/>
      <c r="F1212" s="138"/>
      <c r="G1212" s="138"/>
      <c r="H1212" s="138"/>
      <c r="I1212" s="203"/>
      <c r="J1212" s="203"/>
    </row>
    <row r="1213" spans="1:10" ht="15" customHeight="1">
      <c r="A1213" s="158">
        <f t="shared" si="68"/>
        <v>1131</v>
      </c>
      <c r="B1213" s="4"/>
      <c r="C1213" s="79" t="s">
        <v>20</v>
      </c>
      <c r="D1213" s="25"/>
      <c r="E1213" s="46">
        <v>200000</v>
      </c>
      <c r="F1213" s="138">
        <v>80000</v>
      </c>
      <c r="G1213" s="138">
        <v>80000</v>
      </c>
      <c r="H1213" s="138">
        <v>80000</v>
      </c>
      <c r="I1213" s="203">
        <f t="shared" si="65"/>
        <v>1</v>
      </c>
      <c r="J1213" s="203">
        <f>H1213/$H$1363</f>
        <v>0.0017402443424873956</v>
      </c>
    </row>
    <row r="1214" spans="1:10" ht="15" customHeight="1">
      <c r="A1214" s="158">
        <f t="shared" si="68"/>
        <v>1132</v>
      </c>
      <c r="B1214" s="4"/>
      <c r="C1214" s="79" t="s">
        <v>24</v>
      </c>
      <c r="D1214" s="25"/>
      <c r="E1214" s="46">
        <v>20000</v>
      </c>
      <c r="F1214" s="138">
        <v>50000</v>
      </c>
      <c r="G1214" s="138">
        <v>50000</v>
      </c>
      <c r="H1214" s="138">
        <v>60000</v>
      </c>
      <c r="I1214" s="203">
        <f t="shared" si="65"/>
        <v>1.2</v>
      </c>
      <c r="J1214" s="203">
        <f>H1214/$H$1363</f>
        <v>0.0013051832568655468</v>
      </c>
    </row>
    <row r="1215" spans="1:10" ht="15" customHeight="1">
      <c r="A1215" s="158">
        <f t="shared" si="68"/>
        <v>1133</v>
      </c>
      <c r="B1215" s="4"/>
      <c r="C1215" s="79" t="s">
        <v>180</v>
      </c>
      <c r="D1215" s="25"/>
      <c r="E1215" s="46">
        <v>2000</v>
      </c>
      <c r="F1215" s="138">
        <v>8000</v>
      </c>
      <c r="G1215" s="138">
        <v>8000</v>
      </c>
      <c r="H1215" s="138">
        <v>15000</v>
      </c>
      <c r="I1215" s="203">
        <f t="shared" si="65"/>
        <v>1.875</v>
      </c>
      <c r="J1215" s="203">
        <f>H1215/$H$1363</f>
        <v>0.0003262958142163867</v>
      </c>
    </row>
    <row r="1216" spans="1:10" ht="15" customHeight="1">
      <c r="A1216" s="158">
        <f t="shared" si="68"/>
        <v>1134</v>
      </c>
      <c r="B1216" s="4"/>
      <c r="C1216" s="79" t="s">
        <v>338</v>
      </c>
      <c r="D1216" s="25"/>
      <c r="E1216" s="46">
        <v>1000</v>
      </c>
      <c r="F1216" s="138">
        <v>15000</v>
      </c>
      <c r="G1216" s="138">
        <v>15000</v>
      </c>
      <c r="H1216" s="138">
        <v>23000</v>
      </c>
      <c r="I1216" s="203">
        <f t="shared" si="65"/>
        <v>1.5333333333333334</v>
      </c>
      <c r="J1216" s="203">
        <f>H1216/$H$1363</f>
        <v>0.0005003202484651262</v>
      </c>
    </row>
    <row r="1217" spans="1:10" ht="15" customHeight="1">
      <c r="A1217" s="158">
        <f t="shared" si="68"/>
        <v>1135</v>
      </c>
      <c r="B1217" s="4">
        <v>6050</v>
      </c>
      <c r="C1217" s="79" t="s">
        <v>191</v>
      </c>
      <c r="D1217" s="25"/>
      <c r="E1217" s="46"/>
      <c r="F1217" s="138">
        <f>SUM(F1219:F1221)</f>
        <v>50000</v>
      </c>
      <c r="G1217" s="138">
        <f>SUM(G1219:G1221)</f>
        <v>0</v>
      </c>
      <c r="H1217" s="138">
        <f>SUM(H1219:H1221)</f>
        <v>300000</v>
      </c>
      <c r="I1217" s="203"/>
      <c r="J1217" s="203">
        <f>H1217/$H$1363</f>
        <v>0.006525916284327734</v>
      </c>
    </row>
    <row r="1218" spans="1:10" ht="15" customHeight="1">
      <c r="A1218" s="158">
        <f t="shared" si="68"/>
        <v>1136</v>
      </c>
      <c r="B1218" s="4"/>
      <c r="C1218" s="79" t="s">
        <v>15</v>
      </c>
      <c r="D1218" s="25"/>
      <c r="E1218" s="46"/>
      <c r="F1218" s="138"/>
      <c r="G1218" s="138"/>
      <c r="H1218" s="138"/>
      <c r="I1218" s="203"/>
      <c r="J1218" s="203"/>
    </row>
    <row r="1219" spans="1:10" ht="15" customHeight="1">
      <c r="A1219" s="158">
        <f t="shared" si="68"/>
        <v>1137</v>
      </c>
      <c r="B1219" s="4"/>
      <c r="C1219" s="79" t="s">
        <v>597</v>
      </c>
      <c r="D1219" s="25"/>
      <c r="E1219" s="46"/>
      <c r="F1219" s="138"/>
      <c r="G1219" s="138"/>
      <c r="H1219" s="138"/>
      <c r="I1219" s="203"/>
      <c r="J1219" s="203"/>
    </row>
    <row r="1220" spans="1:10" ht="15" customHeight="1">
      <c r="A1220" s="158">
        <f t="shared" si="68"/>
        <v>1138</v>
      </c>
      <c r="B1220" s="4"/>
      <c r="C1220" s="79" t="s">
        <v>598</v>
      </c>
      <c r="D1220" s="25"/>
      <c r="E1220" s="46"/>
      <c r="F1220" s="138"/>
      <c r="G1220" s="138"/>
      <c r="H1220" s="138"/>
      <c r="I1220" s="203"/>
      <c r="J1220" s="203"/>
    </row>
    <row r="1221" spans="1:10" ht="15" customHeight="1">
      <c r="A1221" s="158">
        <f t="shared" si="68"/>
        <v>1139</v>
      </c>
      <c r="B1221" s="4"/>
      <c r="C1221" s="79" t="s">
        <v>644</v>
      </c>
      <c r="D1221" s="25"/>
      <c r="E1221" s="46"/>
      <c r="F1221" s="138">
        <v>50000</v>
      </c>
      <c r="G1221" s="138">
        <v>0</v>
      </c>
      <c r="H1221" s="138">
        <v>300000</v>
      </c>
      <c r="I1221" s="203"/>
      <c r="J1221" s="203">
        <f aca="true" t="shared" si="69" ref="J1221:J1226">H1221/$H$1363</f>
        <v>0.006525916284327734</v>
      </c>
    </row>
    <row r="1222" spans="1:10" s="73" customFormat="1" ht="12.75">
      <c r="A1222" s="158">
        <f t="shared" si="68"/>
        <v>1140</v>
      </c>
      <c r="B1222" s="62">
        <v>90015</v>
      </c>
      <c r="C1222" s="68" t="s">
        <v>123</v>
      </c>
      <c r="D1222" s="63"/>
      <c r="E1222" s="64" t="e">
        <f>#REF!+E1224+E1226</f>
        <v>#REF!</v>
      </c>
      <c r="F1222" s="63">
        <f>F1223+F1224+F1225+F1226+F1230</f>
        <v>395950</v>
      </c>
      <c r="G1222" s="63">
        <f>G1223+G1224+G1225+G1226+G1230</f>
        <v>390307.4</v>
      </c>
      <c r="H1222" s="63">
        <f>H1223+H1224+H1225+H1226+H1230</f>
        <v>397000</v>
      </c>
      <c r="I1222" s="203">
        <f t="shared" si="65"/>
        <v>1.0171469974691743</v>
      </c>
      <c r="J1222" s="203">
        <f t="shared" si="69"/>
        <v>0.008635962549593701</v>
      </c>
    </row>
    <row r="1223" spans="1:10" s="73" customFormat="1" ht="12.75">
      <c r="A1223" s="158">
        <f t="shared" si="68"/>
        <v>1141</v>
      </c>
      <c r="B1223" s="137">
        <v>4210</v>
      </c>
      <c r="C1223" s="40" t="s">
        <v>136</v>
      </c>
      <c r="D1223" s="63"/>
      <c r="E1223" s="64"/>
      <c r="F1223" s="138">
        <v>0</v>
      </c>
      <c r="G1223" s="138">
        <v>0</v>
      </c>
      <c r="H1223" s="138">
        <v>30000</v>
      </c>
      <c r="I1223" s="203"/>
      <c r="J1223" s="203">
        <f t="shared" si="69"/>
        <v>0.0006525916284327734</v>
      </c>
    </row>
    <row r="1224" spans="1:10" ht="12.75">
      <c r="A1224" s="158">
        <f t="shared" si="68"/>
        <v>1142</v>
      </c>
      <c r="B1224" s="4">
        <v>4260</v>
      </c>
      <c r="C1224" s="79" t="s">
        <v>189</v>
      </c>
      <c r="D1224" s="25"/>
      <c r="E1224" s="47" t="e">
        <f>#REF!</f>
        <v>#REF!</v>
      </c>
      <c r="F1224" s="150">
        <v>233450</v>
      </c>
      <c r="G1224" s="150">
        <v>233450</v>
      </c>
      <c r="H1224" s="150">
        <v>250000</v>
      </c>
      <c r="I1224" s="203">
        <f t="shared" si="65"/>
        <v>1.0708931248661384</v>
      </c>
      <c r="J1224" s="203">
        <f t="shared" si="69"/>
        <v>0.005438263570273111</v>
      </c>
    </row>
    <row r="1225" spans="1:10" ht="12.75">
      <c r="A1225" s="158">
        <f t="shared" si="68"/>
        <v>1143</v>
      </c>
      <c r="B1225" s="4">
        <v>4270</v>
      </c>
      <c r="C1225" s="106" t="s">
        <v>470</v>
      </c>
      <c r="D1225" s="25"/>
      <c r="E1225" s="47"/>
      <c r="F1225" s="150">
        <v>106000</v>
      </c>
      <c r="G1225" s="150">
        <v>106000</v>
      </c>
      <c r="H1225" s="150">
        <v>106000</v>
      </c>
      <c r="I1225" s="203">
        <f t="shared" si="65"/>
        <v>1</v>
      </c>
      <c r="J1225" s="203">
        <f t="shared" si="69"/>
        <v>0.002305823753795799</v>
      </c>
    </row>
    <row r="1226" spans="1:10" ht="12.75">
      <c r="A1226" s="158">
        <f t="shared" si="68"/>
        <v>1144</v>
      </c>
      <c r="B1226" s="4">
        <v>4300</v>
      </c>
      <c r="C1226" s="79" t="s">
        <v>134</v>
      </c>
      <c r="D1226" s="25"/>
      <c r="E1226" s="47">
        <f>SUM(E1228:E1229)</f>
        <v>95000</v>
      </c>
      <c r="F1226" s="23">
        <f>SUM(F1228:F1229)</f>
        <v>11000</v>
      </c>
      <c r="G1226" s="23">
        <f>SUM(G1228:G1229)</f>
        <v>11000</v>
      </c>
      <c r="H1226" s="23">
        <f>SUM(H1228:H1229)</f>
        <v>11000</v>
      </c>
      <c r="I1226" s="203">
        <f t="shared" si="65"/>
        <v>1</v>
      </c>
      <c r="J1226" s="203">
        <f t="shared" si="69"/>
        <v>0.0002392835970920169</v>
      </c>
    </row>
    <row r="1227" spans="1:10" ht="12.75">
      <c r="A1227" s="158">
        <f t="shared" si="68"/>
        <v>1145</v>
      </c>
      <c r="B1227" s="4"/>
      <c r="C1227" s="79" t="s">
        <v>15</v>
      </c>
      <c r="D1227" s="25"/>
      <c r="E1227" s="46"/>
      <c r="F1227" s="138"/>
      <c r="G1227" s="138"/>
      <c r="H1227" s="138"/>
      <c r="I1227" s="203"/>
      <c r="J1227" s="203"/>
    </row>
    <row r="1228" spans="1:10" ht="12.75">
      <c r="A1228" s="158">
        <f t="shared" si="68"/>
        <v>1146</v>
      </c>
      <c r="B1228" s="4"/>
      <c r="C1228" s="79" t="s">
        <v>471</v>
      </c>
      <c r="D1228" s="25"/>
      <c r="E1228" s="46">
        <v>85000</v>
      </c>
      <c r="F1228" s="138">
        <v>7584.25</v>
      </c>
      <c r="G1228" s="138">
        <v>7584.25</v>
      </c>
      <c r="H1228" s="138">
        <v>0</v>
      </c>
      <c r="I1228" s="203">
        <f t="shared" si="65"/>
        <v>0</v>
      </c>
      <c r="J1228" s="203">
        <f>H1228/$H$1363</f>
        <v>0</v>
      </c>
    </row>
    <row r="1229" spans="1:10" ht="12.75">
      <c r="A1229" s="158">
        <f t="shared" si="68"/>
        <v>1147</v>
      </c>
      <c r="B1229" s="4"/>
      <c r="C1229" s="79" t="s">
        <v>257</v>
      </c>
      <c r="D1229" s="25"/>
      <c r="E1229" s="46">
        <v>10000</v>
      </c>
      <c r="F1229" s="138">
        <v>3415.75</v>
      </c>
      <c r="G1229" s="138">
        <v>3415.75</v>
      </c>
      <c r="H1229" s="138">
        <v>11000</v>
      </c>
      <c r="I1229" s="203">
        <f t="shared" si="65"/>
        <v>3.2203761984922785</v>
      </c>
      <c r="J1229" s="203">
        <f>H1229/$H$1363</f>
        <v>0.0002392835970920169</v>
      </c>
    </row>
    <row r="1230" spans="1:10" ht="12.75">
      <c r="A1230" s="158">
        <f t="shared" si="68"/>
        <v>1148</v>
      </c>
      <c r="B1230" s="4">
        <v>6050</v>
      </c>
      <c r="C1230" s="79" t="s">
        <v>194</v>
      </c>
      <c r="D1230" s="25"/>
      <c r="E1230" s="46"/>
      <c r="F1230" s="138">
        <f>SUM(F1232:F1233)</f>
        <v>45500</v>
      </c>
      <c r="G1230" s="138">
        <f>SUM(G1232:G1233)</f>
        <v>39857.4</v>
      </c>
      <c r="H1230" s="138">
        <f>SUM(H1232:H1233)</f>
        <v>0</v>
      </c>
      <c r="I1230" s="203">
        <f t="shared" si="65"/>
        <v>0</v>
      </c>
      <c r="J1230" s="203">
        <f>H1230/$H$1363</f>
        <v>0</v>
      </c>
    </row>
    <row r="1231" spans="1:10" ht="12.75">
      <c r="A1231" s="158">
        <f t="shared" si="68"/>
        <v>1149</v>
      </c>
      <c r="B1231" s="4"/>
      <c r="C1231" s="79" t="s">
        <v>15</v>
      </c>
      <c r="D1231" s="25"/>
      <c r="E1231" s="46"/>
      <c r="F1231" s="138"/>
      <c r="G1231" s="138"/>
      <c r="H1231" s="138"/>
      <c r="I1231" s="203"/>
      <c r="J1231" s="203"/>
    </row>
    <row r="1232" spans="1:10" ht="12.75">
      <c r="A1232" s="158">
        <f t="shared" si="68"/>
        <v>1150</v>
      </c>
      <c r="B1232" s="4"/>
      <c r="C1232" s="79" t="s">
        <v>356</v>
      </c>
      <c r="D1232" s="25"/>
      <c r="E1232" s="46"/>
      <c r="F1232" s="138">
        <v>20500</v>
      </c>
      <c r="G1232" s="138">
        <v>20459.4</v>
      </c>
      <c r="H1232" s="138">
        <v>0</v>
      </c>
      <c r="I1232" s="203">
        <f>H1232/G1232</f>
        <v>0</v>
      </c>
      <c r="J1232" s="203">
        <f>H1232/$H$1363</f>
        <v>0</v>
      </c>
    </row>
    <row r="1233" spans="1:10" ht="12.75">
      <c r="A1233" s="158">
        <f t="shared" si="68"/>
        <v>1151</v>
      </c>
      <c r="B1233" s="4"/>
      <c r="C1233" s="106" t="s">
        <v>529</v>
      </c>
      <c r="D1233" s="25"/>
      <c r="E1233" s="46"/>
      <c r="F1233" s="138">
        <v>25000</v>
      </c>
      <c r="G1233" s="138">
        <v>19398</v>
      </c>
      <c r="H1233" s="138">
        <v>0</v>
      </c>
      <c r="I1233" s="203">
        <f>H1233/G1233</f>
        <v>0</v>
      </c>
      <c r="J1233" s="203">
        <f>H1233/$H$1363</f>
        <v>0</v>
      </c>
    </row>
    <row r="1234" spans="1:10" s="73" customFormat="1" ht="12.75">
      <c r="A1234" s="158">
        <f t="shared" si="68"/>
        <v>1152</v>
      </c>
      <c r="B1234" s="62">
        <v>90017</v>
      </c>
      <c r="C1234" s="68" t="s">
        <v>177</v>
      </c>
      <c r="D1234" s="63"/>
      <c r="E1234" s="72">
        <f>E1236</f>
        <v>0</v>
      </c>
      <c r="F1234" s="148">
        <f>F1236+F1237</f>
        <v>811319</v>
      </c>
      <c r="G1234" s="148">
        <f>G1236+G1237</f>
        <v>687366</v>
      </c>
      <c r="H1234" s="148">
        <f>H1236+H1237</f>
        <v>422000</v>
      </c>
      <c r="I1234" s="203">
        <f>H1234/G1234</f>
        <v>0.6139378438852082</v>
      </c>
      <c r="J1234" s="203">
        <f>H1234/$H$1363</f>
        <v>0.009179788906621012</v>
      </c>
    </row>
    <row r="1235" spans="1:10" ht="12.75">
      <c r="A1235" s="158">
        <f t="shared" si="68"/>
        <v>1153</v>
      </c>
      <c r="B1235" s="4">
        <v>2650</v>
      </c>
      <c r="C1235" s="79" t="s">
        <v>153</v>
      </c>
      <c r="D1235" s="25"/>
      <c r="E1235" s="46"/>
      <c r="F1235" s="138"/>
      <c r="G1235" s="138"/>
      <c r="H1235" s="138"/>
      <c r="I1235" s="203"/>
      <c r="J1235" s="203"/>
    </row>
    <row r="1236" spans="1:10" ht="12.75">
      <c r="A1236" s="158">
        <f t="shared" si="68"/>
        <v>1154</v>
      </c>
      <c r="B1236" s="4"/>
      <c r="C1236" s="79" t="s">
        <v>326</v>
      </c>
      <c r="D1236" s="25"/>
      <c r="E1236" s="46">
        <v>0</v>
      </c>
      <c r="F1236" s="138">
        <v>150000</v>
      </c>
      <c r="G1236" s="138">
        <v>150000</v>
      </c>
      <c r="H1236" s="138">
        <v>122000</v>
      </c>
      <c r="I1236" s="203">
        <f>H1236/G1236</f>
        <v>0.8133333333333334</v>
      </c>
      <c r="J1236" s="203">
        <f>H1236/$H$1363</f>
        <v>0.0026538726222932784</v>
      </c>
    </row>
    <row r="1237" spans="1:10" ht="12.75">
      <c r="A1237" s="158">
        <f t="shared" si="68"/>
        <v>1155</v>
      </c>
      <c r="B1237" s="4">
        <v>6210</v>
      </c>
      <c r="C1237" s="79" t="s">
        <v>199</v>
      </c>
      <c r="D1237" s="25"/>
      <c r="E1237" s="46"/>
      <c r="F1237" s="138">
        <f>SUM(F1240:F1248)</f>
        <v>661319</v>
      </c>
      <c r="G1237" s="138">
        <f>SUM(G1240:G1248)</f>
        <v>537366</v>
      </c>
      <c r="H1237" s="138">
        <f>SUM(H1240:H1248)</f>
        <v>300000</v>
      </c>
      <c r="I1237" s="203">
        <f>H1237/G1237</f>
        <v>0.5582787150657094</v>
      </c>
      <c r="J1237" s="203">
        <f>H1237/$H$1363</f>
        <v>0.006525916284327734</v>
      </c>
    </row>
    <row r="1238" spans="1:10" ht="12.75">
      <c r="A1238" s="158">
        <f t="shared" si="68"/>
        <v>1156</v>
      </c>
      <c r="B1238" s="4"/>
      <c r="C1238" s="79" t="s">
        <v>15</v>
      </c>
      <c r="D1238" s="25"/>
      <c r="E1238" s="46"/>
      <c r="F1238" s="138"/>
      <c r="G1238" s="138"/>
      <c r="H1238" s="138"/>
      <c r="I1238" s="203"/>
      <c r="J1238" s="203"/>
    </row>
    <row r="1239" spans="1:10" ht="12.75">
      <c r="A1239" s="158">
        <f t="shared" si="68"/>
        <v>1157</v>
      </c>
      <c r="B1239" s="4"/>
      <c r="C1239" s="79" t="s">
        <v>472</v>
      </c>
      <c r="D1239" s="25"/>
      <c r="E1239" s="46"/>
      <c r="F1239" s="138"/>
      <c r="G1239" s="138"/>
      <c r="H1239" s="138"/>
      <c r="I1239" s="203"/>
      <c r="J1239" s="203">
        <f aca="true" t="shared" si="70" ref="J1239:J1246">H1239/$H$1363</f>
        <v>0</v>
      </c>
    </row>
    <row r="1240" spans="1:10" ht="12.75">
      <c r="A1240" s="158">
        <f t="shared" si="68"/>
        <v>1158</v>
      </c>
      <c r="B1240" s="4"/>
      <c r="C1240" s="79" t="s">
        <v>473</v>
      </c>
      <c r="D1240" s="25"/>
      <c r="E1240" s="46"/>
      <c r="F1240" s="138">
        <f>690000-130000</f>
        <v>560000</v>
      </c>
      <c r="G1240" s="138">
        <v>439500</v>
      </c>
      <c r="H1240" s="138">
        <v>0</v>
      </c>
      <c r="I1240" s="203">
        <f>H1240/G1240</f>
        <v>0</v>
      </c>
      <c r="J1240" s="203">
        <f t="shared" si="70"/>
        <v>0</v>
      </c>
    </row>
    <row r="1241" spans="1:10" ht="12.75">
      <c r="A1241" s="158">
        <f t="shared" si="68"/>
        <v>1159</v>
      </c>
      <c r="B1241" s="4"/>
      <c r="C1241" s="79" t="s">
        <v>474</v>
      </c>
      <c r="D1241" s="25"/>
      <c r="E1241" s="46"/>
      <c r="F1241" s="138"/>
      <c r="G1241" s="138"/>
      <c r="H1241" s="138"/>
      <c r="I1241" s="203"/>
      <c r="J1241" s="203">
        <f t="shared" si="70"/>
        <v>0</v>
      </c>
    </row>
    <row r="1242" spans="1:10" ht="12.75">
      <c r="A1242" s="158">
        <f t="shared" si="68"/>
        <v>1160</v>
      </c>
      <c r="B1242" s="4"/>
      <c r="C1242" s="79" t="s">
        <v>475</v>
      </c>
      <c r="D1242" s="25"/>
      <c r="E1242" s="46"/>
      <c r="F1242" s="138">
        <v>10277</v>
      </c>
      <c r="G1242" s="138">
        <v>6824</v>
      </c>
      <c r="H1242" s="138">
        <v>0</v>
      </c>
      <c r="I1242" s="203">
        <f>H1242/G1242</f>
        <v>0</v>
      </c>
      <c r="J1242" s="203">
        <f t="shared" si="70"/>
        <v>0</v>
      </c>
    </row>
    <row r="1243" spans="1:10" ht="12.75">
      <c r="A1243" s="158">
        <f t="shared" si="68"/>
        <v>1161</v>
      </c>
      <c r="B1243" s="4"/>
      <c r="C1243" s="79" t="s">
        <v>530</v>
      </c>
      <c r="D1243" s="25"/>
      <c r="E1243" s="46"/>
      <c r="F1243" s="138">
        <v>18000</v>
      </c>
      <c r="G1243" s="138">
        <v>18000</v>
      </c>
      <c r="H1243" s="138">
        <v>0</v>
      </c>
      <c r="I1243" s="203"/>
      <c r="J1243" s="203">
        <f t="shared" si="70"/>
        <v>0</v>
      </c>
    </row>
    <row r="1244" spans="1:10" ht="12.75">
      <c r="A1244" s="158">
        <f t="shared" si="68"/>
        <v>1162</v>
      </c>
      <c r="B1244" s="4"/>
      <c r="C1244" s="79" t="s">
        <v>532</v>
      </c>
      <c r="D1244" s="25"/>
      <c r="E1244" s="46"/>
      <c r="F1244" s="138"/>
      <c r="G1244" s="138"/>
      <c r="H1244" s="138"/>
      <c r="I1244" s="203"/>
      <c r="J1244" s="203">
        <f t="shared" si="70"/>
        <v>0</v>
      </c>
    </row>
    <row r="1245" spans="1:10" ht="12.75">
      <c r="A1245" s="158">
        <f t="shared" si="68"/>
        <v>1163</v>
      </c>
      <c r="B1245" s="4"/>
      <c r="C1245" s="79" t="s">
        <v>531</v>
      </c>
      <c r="D1245" s="25"/>
      <c r="E1245" s="46"/>
      <c r="F1245" s="138">
        <v>29000</v>
      </c>
      <c r="G1245" s="138">
        <v>29000</v>
      </c>
      <c r="H1245" s="138">
        <v>0</v>
      </c>
      <c r="I1245" s="203"/>
      <c r="J1245" s="203">
        <f t="shared" si="70"/>
        <v>0</v>
      </c>
    </row>
    <row r="1246" spans="1:10" ht="12.75">
      <c r="A1246" s="158">
        <f t="shared" si="68"/>
        <v>1164</v>
      </c>
      <c r="B1246" s="4"/>
      <c r="C1246" s="79" t="s">
        <v>570</v>
      </c>
      <c r="D1246" s="25"/>
      <c r="E1246" s="46"/>
      <c r="F1246" s="138">
        <v>44042</v>
      </c>
      <c r="G1246" s="138">
        <v>44042</v>
      </c>
      <c r="H1246" s="138">
        <v>0</v>
      </c>
      <c r="I1246" s="203"/>
      <c r="J1246" s="203">
        <f t="shared" si="70"/>
        <v>0</v>
      </c>
    </row>
    <row r="1247" spans="1:10" ht="12.75">
      <c r="A1247" s="158">
        <f t="shared" si="68"/>
        <v>1165</v>
      </c>
      <c r="B1247" s="4"/>
      <c r="C1247" s="79" t="s">
        <v>647</v>
      </c>
      <c r="D1247" s="25"/>
      <c r="E1247" s="46"/>
      <c r="F1247" s="138"/>
      <c r="G1247" s="138"/>
      <c r="H1247" s="138"/>
      <c r="I1247" s="203"/>
      <c r="J1247" s="203"/>
    </row>
    <row r="1248" spans="1:10" ht="12.75">
      <c r="A1248" s="158">
        <f t="shared" si="68"/>
        <v>1166</v>
      </c>
      <c r="B1248" s="4"/>
      <c r="C1248" s="79" t="s">
        <v>648</v>
      </c>
      <c r="D1248" s="25"/>
      <c r="E1248" s="46"/>
      <c r="F1248" s="138">
        <v>0</v>
      </c>
      <c r="G1248" s="138">
        <v>0</v>
      </c>
      <c r="H1248" s="138">
        <v>300000</v>
      </c>
      <c r="I1248" s="203"/>
      <c r="J1248" s="203"/>
    </row>
    <row r="1249" spans="1:10" ht="12.75">
      <c r="A1249" s="158">
        <f t="shared" si="68"/>
        <v>1167</v>
      </c>
      <c r="B1249" s="4"/>
      <c r="C1249" s="79"/>
      <c r="D1249" s="25"/>
      <c r="E1249" s="46"/>
      <c r="F1249" s="138"/>
      <c r="G1249" s="138"/>
      <c r="H1249" s="138"/>
      <c r="I1249" s="203"/>
      <c r="J1249" s="203"/>
    </row>
    <row r="1250" spans="1:10" s="73" customFormat="1" ht="12.75">
      <c r="A1250" s="158">
        <f t="shared" si="68"/>
        <v>1168</v>
      </c>
      <c r="B1250" s="62">
        <v>90095</v>
      </c>
      <c r="C1250" s="68" t="s">
        <v>25</v>
      </c>
      <c r="D1250" s="63"/>
      <c r="E1250" s="64" t="e">
        <f>E1258+#REF!</f>
        <v>#REF!</v>
      </c>
      <c r="F1250" s="63">
        <f>F1256+F1257+F1258+F1266+F1267+F1275+F1282+F1290+F1295</f>
        <v>1578941.08</v>
      </c>
      <c r="G1250" s="63">
        <f>G1256+G1257+G1258+G1266+G1267+G1275+G1282+G1290+G1295</f>
        <v>845817.9199999999</v>
      </c>
      <c r="H1250" s="63">
        <f>H1256+H1257+H1258+H1266+H1267+H1275+H1282+H1290+H1295</f>
        <v>4220052</v>
      </c>
      <c r="I1250" s="203">
        <f>H1250/G1250</f>
        <v>4.989314957999471</v>
      </c>
      <c r="J1250" s="203">
        <f>H1250/$H$1363</f>
        <v>0.09179902022503274</v>
      </c>
    </row>
    <row r="1251" spans="1:10" s="187" customFormat="1" ht="12.75">
      <c r="A1251" s="158">
        <f t="shared" si="68"/>
        <v>1169</v>
      </c>
      <c r="B1251" s="190">
        <v>2310</v>
      </c>
      <c r="C1251" s="40" t="s">
        <v>384</v>
      </c>
      <c r="D1251" s="145"/>
      <c r="E1251" s="136"/>
      <c r="F1251" s="186"/>
      <c r="G1251" s="186"/>
      <c r="H1251" s="186"/>
      <c r="I1251" s="203"/>
      <c r="J1251" s="203"/>
    </row>
    <row r="1252" spans="1:10" s="187" customFormat="1" ht="12.75">
      <c r="A1252" s="158">
        <f t="shared" si="68"/>
        <v>1170</v>
      </c>
      <c r="B1252" s="189"/>
      <c r="C1252" s="40" t="s">
        <v>385</v>
      </c>
      <c r="D1252" s="145"/>
      <c r="E1252" s="136"/>
      <c r="F1252" s="186"/>
      <c r="G1252" s="186"/>
      <c r="H1252" s="186"/>
      <c r="I1252" s="203"/>
      <c r="J1252" s="203"/>
    </row>
    <row r="1253" spans="1:10" s="187" customFormat="1" ht="12.75">
      <c r="A1253" s="158">
        <f t="shared" si="68"/>
        <v>1171</v>
      </c>
      <c r="B1253" s="189"/>
      <c r="C1253" s="40" t="s">
        <v>386</v>
      </c>
      <c r="D1253" s="145"/>
      <c r="E1253" s="136"/>
      <c r="F1253" s="186"/>
      <c r="G1253" s="186"/>
      <c r="H1253" s="186"/>
      <c r="I1253" s="203"/>
      <c r="J1253" s="203"/>
    </row>
    <row r="1254" spans="1:10" s="187" customFormat="1" ht="12.75">
      <c r="A1254" s="158">
        <f t="shared" si="68"/>
        <v>1172</v>
      </c>
      <c r="B1254" s="189"/>
      <c r="C1254" s="40" t="s">
        <v>387</v>
      </c>
      <c r="D1254" s="145"/>
      <c r="E1254" s="136"/>
      <c r="F1254" s="186"/>
      <c r="G1254" s="186"/>
      <c r="H1254" s="186"/>
      <c r="I1254" s="203"/>
      <c r="J1254" s="203"/>
    </row>
    <row r="1255" spans="1:10" s="187" customFormat="1" ht="12.75">
      <c r="A1255" s="158">
        <f t="shared" si="68"/>
        <v>1173</v>
      </c>
      <c r="B1255" s="189"/>
      <c r="C1255" s="40" t="s">
        <v>388</v>
      </c>
      <c r="D1255" s="145"/>
      <c r="E1255" s="136"/>
      <c r="F1255" s="186"/>
      <c r="G1255" s="186"/>
      <c r="H1255" s="186"/>
      <c r="I1255" s="203"/>
      <c r="J1255" s="203"/>
    </row>
    <row r="1256" spans="1:10" s="187" customFormat="1" ht="12.75">
      <c r="A1256" s="158">
        <f t="shared" si="68"/>
        <v>1174</v>
      </c>
      <c r="B1256" s="189"/>
      <c r="C1256" s="40" t="s">
        <v>389</v>
      </c>
      <c r="D1256" s="145"/>
      <c r="E1256" s="136"/>
      <c r="F1256" s="186">
        <v>25000</v>
      </c>
      <c r="G1256" s="186">
        <v>25000</v>
      </c>
      <c r="H1256" s="186">
        <v>27000</v>
      </c>
      <c r="I1256" s="203">
        <f>H1256/G1256</f>
        <v>1.08</v>
      </c>
      <c r="J1256" s="203">
        <f>H1256/$H$1363</f>
        <v>0.000587332465589496</v>
      </c>
    </row>
    <row r="1257" spans="1:10" s="60" customFormat="1" ht="12.75">
      <c r="A1257" s="158">
        <f t="shared" si="68"/>
        <v>1175</v>
      </c>
      <c r="B1257" s="105">
        <v>4260</v>
      </c>
      <c r="C1257" s="79" t="s">
        <v>346</v>
      </c>
      <c r="D1257" s="84"/>
      <c r="E1257" s="82"/>
      <c r="F1257" s="144">
        <f>22500+15000</f>
        <v>37500</v>
      </c>
      <c r="G1257" s="144">
        <v>37500</v>
      </c>
      <c r="H1257" s="144">
        <v>25000</v>
      </c>
      <c r="I1257" s="203">
        <f>H1257/G1257</f>
        <v>0.6666666666666666</v>
      </c>
      <c r="J1257" s="203">
        <f>H1257/$H$1363</f>
        <v>0.0005438263570273111</v>
      </c>
    </row>
    <row r="1258" spans="1:10" ht="12.75">
      <c r="A1258" s="158">
        <f t="shared" si="68"/>
        <v>1176</v>
      </c>
      <c r="B1258" s="4">
        <v>4300</v>
      </c>
      <c r="C1258" s="79" t="s">
        <v>134</v>
      </c>
      <c r="D1258" s="25"/>
      <c r="E1258" s="47">
        <f>SUM(E1260:E1260)</f>
        <v>0</v>
      </c>
      <c r="F1258" s="23">
        <f>SUM(F1260:F1263)</f>
        <v>24950</v>
      </c>
      <c r="G1258" s="23">
        <f>SUM(G1260:G1263)</f>
        <v>24950</v>
      </c>
      <c r="H1258" s="23">
        <f>SUM(H1260:H1263)</f>
        <v>118000</v>
      </c>
      <c r="I1258" s="203">
        <f>H1258/G1258</f>
        <v>4.729458917835672</v>
      </c>
      <c r="J1258" s="203">
        <f>H1258/$H$1363</f>
        <v>0.0025668604051689086</v>
      </c>
    </row>
    <row r="1259" spans="1:10" ht="12.75">
      <c r="A1259" s="158">
        <f t="shared" si="68"/>
        <v>1177</v>
      </c>
      <c r="B1259" s="4"/>
      <c r="C1259" s="79" t="s">
        <v>15</v>
      </c>
      <c r="D1259" s="25"/>
      <c r="E1259" s="98"/>
      <c r="F1259" s="150"/>
      <c r="G1259" s="150"/>
      <c r="H1259" s="150"/>
      <c r="I1259" s="203"/>
      <c r="J1259" s="203"/>
    </row>
    <row r="1260" spans="1:10" ht="12.75">
      <c r="A1260" s="158">
        <f t="shared" si="68"/>
        <v>1178</v>
      </c>
      <c r="B1260" s="4"/>
      <c r="C1260" s="79" t="s">
        <v>225</v>
      </c>
      <c r="D1260" s="25"/>
      <c r="E1260" s="46">
        <v>0</v>
      </c>
      <c r="F1260" s="138">
        <f>25000-15000</f>
        <v>10000</v>
      </c>
      <c r="G1260" s="138">
        <v>10000</v>
      </c>
      <c r="H1260" s="138">
        <v>20000</v>
      </c>
      <c r="I1260" s="203">
        <f>H1260/G1260</f>
        <v>2</v>
      </c>
      <c r="J1260" s="203">
        <f>H1260/$H$1363</f>
        <v>0.0004350610856218489</v>
      </c>
    </row>
    <row r="1261" spans="1:10" ht="12.75">
      <c r="A1261" s="158">
        <f t="shared" si="68"/>
        <v>1179</v>
      </c>
      <c r="B1261" s="4"/>
      <c r="C1261" s="176" t="s">
        <v>347</v>
      </c>
      <c r="D1261" s="25"/>
      <c r="E1261" s="46"/>
      <c r="F1261" s="138">
        <v>3000</v>
      </c>
      <c r="G1261" s="138">
        <v>3000</v>
      </c>
      <c r="H1261" s="138">
        <v>3000</v>
      </c>
      <c r="I1261" s="203">
        <f>H1261/G1261</f>
        <v>1</v>
      </c>
      <c r="J1261" s="203">
        <f>H1261/$H$1363</f>
        <v>6.525916284327733E-05</v>
      </c>
    </row>
    <row r="1262" spans="1:10" ht="12.75">
      <c r="A1262" s="158">
        <f t="shared" si="68"/>
        <v>1180</v>
      </c>
      <c r="B1262" s="4"/>
      <c r="C1262" s="176" t="s">
        <v>555</v>
      </c>
      <c r="D1262" s="25"/>
      <c r="E1262" s="46"/>
      <c r="F1262" s="138">
        <v>0</v>
      </c>
      <c r="G1262" s="138">
        <v>0</v>
      </c>
      <c r="H1262" s="138">
        <v>80000</v>
      </c>
      <c r="I1262" s="203"/>
      <c r="J1262" s="203">
        <f>H1262/$H$1363</f>
        <v>0.0017402443424873956</v>
      </c>
    </row>
    <row r="1263" spans="1:10" ht="12.75">
      <c r="A1263" s="158">
        <f t="shared" si="68"/>
        <v>1181</v>
      </c>
      <c r="B1263" s="4"/>
      <c r="C1263" s="79" t="s">
        <v>242</v>
      </c>
      <c r="D1263" s="25"/>
      <c r="E1263" s="46"/>
      <c r="F1263" s="138">
        <f>15000-3050</f>
        <v>11950</v>
      </c>
      <c r="G1263" s="138">
        <v>11950</v>
      </c>
      <c r="H1263" s="138">
        <v>15000</v>
      </c>
      <c r="I1263" s="203">
        <f>H1263/G1263</f>
        <v>1.2552301255230125</v>
      </c>
      <c r="J1263" s="203">
        <f>H1263/$H$1363</f>
        <v>0.0003262958142163867</v>
      </c>
    </row>
    <row r="1264" spans="1:10" ht="12.75">
      <c r="A1264" s="158">
        <f t="shared" si="68"/>
        <v>1182</v>
      </c>
      <c r="B1264" s="4">
        <v>4590</v>
      </c>
      <c r="C1264" s="79" t="s">
        <v>566</v>
      </c>
      <c r="D1264" s="25"/>
      <c r="E1264" s="46"/>
      <c r="F1264" s="138"/>
      <c r="G1264" s="138"/>
      <c r="H1264" s="138"/>
      <c r="I1264" s="203"/>
      <c r="J1264" s="203"/>
    </row>
    <row r="1265" spans="1:10" ht="12.75">
      <c r="A1265" s="158">
        <f t="shared" si="68"/>
        <v>1183</v>
      </c>
      <c r="B1265" s="4"/>
      <c r="C1265" s="79" t="s">
        <v>567</v>
      </c>
      <c r="D1265" s="25"/>
      <c r="E1265" s="46"/>
      <c r="F1265" s="138"/>
      <c r="G1265" s="138"/>
      <c r="H1265" s="138"/>
      <c r="I1265" s="203"/>
      <c r="J1265" s="203"/>
    </row>
    <row r="1266" spans="1:10" ht="12.75">
      <c r="A1266" s="158">
        <f t="shared" si="68"/>
        <v>1184</v>
      </c>
      <c r="B1266" s="4"/>
      <c r="C1266" s="79" t="s">
        <v>568</v>
      </c>
      <c r="D1266" s="25"/>
      <c r="E1266" s="46"/>
      <c r="F1266" s="138">
        <v>0</v>
      </c>
      <c r="G1266" s="138">
        <v>0</v>
      </c>
      <c r="H1266" s="138">
        <v>8000</v>
      </c>
      <c r="I1266" s="203"/>
      <c r="J1266" s="203">
        <f>H1266/$H$1363</f>
        <v>0.00017402443424873956</v>
      </c>
    </row>
    <row r="1267" spans="1:10" ht="12.75">
      <c r="A1267" s="158">
        <f t="shared" si="68"/>
        <v>1185</v>
      </c>
      <c r="B1267" s="4">
        <v>6050</v>
      </c>
      <c r="C1267" s="79" t="s">
        <v>191</v>
      </c>
      <c r="D1267" s="25"/>
      <c r="E1267" s="46"/>
      <c r="F1267" s="138">
        <f>F1270+F1272+F1274</f>
        <v>1359716.08</v>
      </c>
      <c r="G1267" s="138">
        <f>G1270+G1272+G1274</f>
        <v>691592.9199999999</v>
      </c>
      <c r="H1267" s="138">
        <f>H1270+H1272+H1274</f>
        <v>349000</v>
      </c>
      <c r="I1267" s="203">
        <f>H1267/G1267</f>
        <v>0.5046321179806179</v>
      </c>
      <c r="J1267" s="203">
        <f>H1267/$H$1363</f>
        <v>0.007591815944101263</v>
      </c>
    </row>
    <row r="1268" spans="1:10" ht="12.75">
      <c r="A1268" s="158">
        <f t="shared" si="68"/>
        <v>1186</v>
      </c>
      <c r="B1268" s="4"/>
      <c r="C1268" s="79" t="s">
        <v>15</v>
      </c>
      <c r="D1268" s="25"/>
      <c r="E1268" s="46"/>
      <c r="F1268" s="138"/>
      <c r="G1268" s="138"/>
      <c r="H1268" s="138"/>
      <c r="I1268" s="203"/>
      <c r="J1268" s="203"/>
    </row>
    <row r="1269" spans="1:10" ht="12.75">
      <c r="A1269" s="158">
        <f t="shared" si="68"/>
        <v>1187</v>
      </c>
      <c r="B1269" s="4"/>
      <c r="C1269" s="79" t="s">
        <v>642</v>
      </c>
      <c r="D1269" s="25"/>
      <c r="E1269" s="46"/>
      <c r="F1269" s="138"/>
      <c r="G1269" s="138"/>
      <c r="H1269" s="138"/>
      <c r="I1269" s="203"/>
      <c r="J1269" s="203"/>
    </row>
    <row r="1270" spans="1:10" ht="12.75">
      <c r="A1270" s="158">
        <f t="shared" si="68"/>
        <v>1188</v>
      </c>
      <c r="B1270" s="4"/>
      <c r="C1270" s="79" t="s">
        <v>643</v>
      </c>
      <c r="D1270" s="25"/>
      <c r="E1270" s="46"/>
      <c r="F1270" s="138">
        <v>700000</v>
      </c>
      <c r="G1270" s="138">
        <f>1409.96+30500</f>
        <v>31909.96</v>
      </c>
      <c r="H1270" s="138">
        <v>349000</v>
      </c>
      <c r="I1270" s="203">
        <f>H1270/G1270</f>
        <v>10.937024051424697</v>
      </c>
      <c r="J1270" s="203">
        <f>H1270/$H$1363</f>
        <v>0.007591815944101263</v>
      </c>
    </row>
    <row r="1271" spans="1:10" ht="12.75">
      <c r="A1271" s="158">
        <f aca="true" t="shared" si="71" ref="A1271:A1334">A1270+1</f>
        <v>1189</v>
      </c>
      <c r="B1271" s="4"/>
      <c r="C1271" s="79" t="s">
        <v>327</v>
      </c>
      <c r="D1271" s="25"/>
      <c r="E1271" s="46"/>
      <c r="F1271" s="138"/>
      <c r="G1271" s="138"/>
      <c r="H1271" s="138"/>
      <c r="I1271" s="203"/>
      <c r="J1271" s="203">
        <f>H1271/$H$1363</f>
        <v>0</v>
      </c>
    </row>
    <row r="1272" spans="1:10" ht="12.75">
      <c r="A1272" s="158">
        <f t="shared" si="71"/>
        <v>1190</v>
      </c>
      <c r="B1272" s="4"/>
      <c r="C1272" s="79" t="s">
        <v>328</v>
      </c>
      <c r="D1272" s="25"/>
      <c r="E1272" s="46"/>
      <c r="F1272" s="138">
        <v>569716.08</v>
      </c>
      <c r="G1272" s="138">
        <v>569716.08</v>
      </c>
      <c r="H1272" s="138"/>
      <c r="I1272" s="203">
        <f>H1272/G1272</f>
        <v>0</v>
      </c>
      <c r="J1272" s="203">
        <f>H1272/$H$1363</f>
        <v>0</v>
      </c>
    </row>
    <row r="1273" spans="1:10" ht="12.75">
      <c r="A1273" s="158">
        <f t="shared" si="71"/>
        <v>1191</v>
      </c>
      <c r="B1273" s="4"/>
      <c r="C1273" s="79" t="s">
        <v>350</v>
      </c>
      <c r="D1273" s="25"/>
      <c r="E1273" s="46"/>
      <c r="F1273" s="138"/>
      <c r="G1273" s="138"/>
      <c r="H1273" s="138"/>
      <c r="I1273" s="203"/>
      <c r="J1273" s="203"/>
    </row>
    <row r="1274" spans="1:10" ht="12.75">
      <c r="A1274" s="158">
        <f t="shared" si="71"/>
        <v>1192</v>
      </c>
      <c r="B1274" s="4"/>
      <c r="C1274" s="79" t="s">
        <v>351</v>
      </c>
      <c r="D1274" s="25"/>
      <c r="E1274" s="46"/>
      <c r="F1274" s="138">
        <v>90000</v>
      </c>
      <c r="G1274" s="138">
        <f>87966.88+2000</f>
        <v>89966.88</v>
      </c>
      <c r="H1274" s="138"/>
      <c r="I1274" s="203">
        <f>H1274/G1274</f>
        <v>0</v>
      </c>
      <c r="J1274" s="203">
        <f>H1274/$H$1363</f>
        <v>0</v>
      </c>
    </row>
    <row r="1275" spans="1:10" ht="12.75">
      <c r="A1275" s="158">
        <f t="shared" si="71"/>
        <v>1193</v>
      </c>
      <c r="B1275" s="4">
        <v>6060</v>
      </c>
      <c r="C1275" s="79" t="s">
        <v>357</v>
      </c>
      <c r="D1275" s="25"/>
      <c r="E1275" s="46"/>
      <c r="F1275" s="138">
        <f>SUM(F1277:F1278)</f>
        <v>70000</v>
      </c>
      <c r="G1275" s="138">
        <f>SUM(G1277:G1278)</f>
        <v>60000</v>
      </c>
      <c r="H1275" s="138">
        <f>SUM(H1277:H1278)</f>
        <v>3100000</v>
      </c>
      <c r="I1275" s="203"/>
      <c r="J1275" s="203">
        <f>H1275/$H$1363</f>
        <v>0.06743446827138658</v>
      </c>
    </row>
    <row r="1276" spans="1:10" ht="12.75">
      <c r="A1276" s="158">
        <f t="shared" si="71"/>
        <v>1194</v>
      </c>
      <c r="B1276" s="4"/>
      <c r="C1276" s="79" t="s">
        <v>15</v>
      </c>
      <c r="D1276" s="25"/>
      <c r="E1276" s="46"/>
      <c r="F1276" s="138"/>
      <c r="G1276" s="138"/>
      <c r="H1276" s="138"/>
      <c r="I1276" s="203"/>
      <c r="J1276" s="203"/>
    </row>
    <row r="1277" spans="1:10" ht="12.75">
      <c r="A1277" s="158">
        <f t="shared" si="71"/>
        <v>1195</v>
      </c>
      <c r="B1277" s="4"/>
      <c r="C1277" s="79" t="s">
        <v>645</v>
      </c>
      <c r="D1277" s="25"/>
      <c r="E1277" s="46"/>
      <c r="F1277" s="138">
        <v>70000</v>
      </c>
      <c r="G1277" s="138">
        <v>60000</v>
      </c>
      <c r="H1277" s="138">
        <v>0</v>
      </c>
      <c r="I1277" s="203"/>
      <c r="J1277" s="203">
        <f>H1277/$H$1363</f>
        <v>0</v>
      </c>
    </row>
    <row r="1278" spans="1:10" ht="12.75">
      <c r="A1278" s="158">
        <f t="shared" si="71"/>
        <v>1196</v>
      </c>
      <c r="B1278" s="4"/>
      <c r="C1278" s="79" t="s">
        <v>646</v>
      </c>
      <c r="D1278" s="25"/>
      <c r="E1278" s="46"/>
      <c r="F1278" s="138">
        <v>0</v>
      </c>
      <c r="G1278" s="138">
        <v>0</v>
      </c>
      <c r="H1278" s="138">
        <v>3100000</v>
      </c>
      <c r="I1278" s="203"/>
      <c r="J1278" s="203">
        <f>H1278/$H$1363</f>
        <v>0.06743446827138658</v>
      </c>
    </row>
    <row r="1279" spans="1:10" ht="12.75">
      <c r="A1279" s="158">
        <f t="shared" si="71"/>
        <v>1197</v>
      </c>
      <c r="B1279" s="4">
        <v>6220</v>
      </c>
      <c r="C1279" s="79" t="s">
        <v>564</v>
      </c>
      <c r="D1279" s="25"/>
      <c r="E1279" s="46"/>
      <c r="F1279" s="28"/>
      <c r="G1279" s="138"/>
      <c r="H1279" s="28"/>
      <c r="I1279" s="203"/>
      <c r="J1279" s="203"/>
    </row>
    <row r="1280" spans="1:10" ht="12.75">
      <c r="A1280" s="158">
        <f t="shared" si="71"/>
        <v>1198</v>
      </c>
      <c r="B1280" s="4"/>
      <c r="C1280" s="79" t="s">
        <v>534</v>
      </c>
      <c r="D1280" s="25"/>
      <c r="E1280" s="46"/>
      <c r="F1280" s="138"/>
      <c r="G1280" s="138"/>
      <c r="H1280" s="138"/>
      <c r="I1280" s="203"/>
      <c r="J1280" s="203"/>
    </row>
    <row r="1281" spans="1:10" ht="12.75">
      <c r="A1281" s="158">
        <f t="shared" si="71"/>
        <v>1199</v>
      </c>
      <c r="B1281" s="4"/>
      <c r="C1281" s="79" t="s">
        <v>535</v>
      </c>
      <c r="D1281" s="25"/>
      <c r="E1281" s="46"/>
      <c r="F1281" s="138"/>
      <c r="G1281" s="138"/>
      <c r="H1281" s="138"/>
      <c r="I1281" s="203"/>
      <c r="J1281" s="203"/>
    </row>
    <row r="1282" spans="1:10" ht="12.75">
      <c r="A1282" s="158">
        <f t="shared" si="71"/>
        <v>1200</v>
      </c>
      <c r="B1282" s="4"/>
      <c r="C1282" s="79" t="s">
        <v>565</v>
      </c>
      <c r="D1282" s="25"/>
      <c r="E1282" s="46"/>
      <c r="F1282" s="138">
        <f>SUM(F1285:F1287)</f>
        <v>55000</v>
      </c>
      <c r="G1282" s="138">
        <v>0</v>
      </c>
      <c r="H1282" s="138">
        <f>SUM(H1285:H1287)</f>
        <v>393052</v>
      </c>
      <c r="I1282" s="203"/>
      <c r="J1282" s="203">
        <f>H1282/$H$1363</f>
        <v>0.008550081491291947</v>
      </c>
    </row>
    <row r="1283" spans="1:10" ht="12.75">
      <c r="A1283" s="158">
        <f t="shared" si="71"/>
        <v>1201</v>
      </c>
      <c r="B1283" s="4"/>
      <c r="C1283" s="79" t="s">
        <v>15</v>
      </c>
      <c r="D1283" s="25"/>
      <c r="E1283" s="46"/>
      <c r="F1283" s="138"/>
      <c r="G1283" s="138"/>
      <c r="H1283" s="138"/>
      <c r="I1283" s="203"/>
      <c r="J1283" s="203"/>
    </row>
    <row r="1284" spans="1:10" ht="12.75">
      <c r="A1284" s="158">
        <f t="shared" si="71"/>
        <v>1202</v>
      </c>
      <c r="B1284" s="4"/>
      <c r="C1284" s="79" t="s">
        <v>560</v>
      </c>
      <c r="D1284" s="25"/>
      <c r="E1284" s="46"/>
      <c r="F1284" s="138"/>
      <c r="G1284" s="138"/>
      <c r="H1284" s="138"/>
      <c r="I1284" s="203"/>
      <c r="J1284" s="203"/>
    </row>
    <row r="1285" spans="1:10" ht="12.75">
      <c r="A1285" s="158">
        <f t="shared" si="71"/>
        <v>1203</v>
      </c>
      <c r="B1285" s="4"/>
      <c r="C1285" s="79" t="s">
        <v>561</v>
      </c>
      <c r="D1285" s="25"/>
      <c r="E1285" s="46"/>
      <c r="F1285" s="138">
        <v>55000</v>
      </c>
      <c r="G1285" s="138">
        <v>55000</v>
      </c>
      <c r="H1285" s="138">
        <v>360052</v>
      </c>
      <c r="I1285" s="203"/>
      <c r="J1285" s="203">
        <f>H1285/$H$1363</f>
        <v>0.007832230700015897</v>
      </c>
    </row>
    <row r="1286" spans="1:10" ht="12.75">
      <c r="A1286" s="158">
        <f t="shared" si="71"/>
        <v>1204</v>
      </c>
      <c r="B1286" s="4"/>
      <c r="C1286" s="79" t="s">
        <v>562</v>
      </c>
      <c r="D1286" s="25"/>
      <c r="E1286" s="46"/>
      <c r="F1286" s="138"/>
      <c r="G1286" s="138"/>
      <c r="H1286" s="138"/>
      <c r="I1286" s="203"/>
      <c r="J1286" s="203"/>
    </row>
    <row r="1287" spans="1:10" ht="12.75">
      <c r="A1287" s="158">
        <f t="shared" si="71"/>
        <v>1205</v>
      </c>
      <c r="B1287" s="4"/>
      <c r="C1287" s="79" t="s">
        <v>563</v>
      </c>
      <c r="D1287" s="25"/>
      <c r="E1287" s="46"/>
      <c r="F1287" s="138">
        <v>0</v>
      </c>
      <c r="G1287" s="138">
        <v>0</v>
      </c>
      <c r="H1287" s="138">
        <v>33000</v>
      </c>
      <c r="I1287" s="203"/>
      <c r="J1287" s="203">
        <f>H1287/$H$1363</f>
        <v>0.0007178507912760507</v>
      </c>
    </row>
    <row r="1288" spans="1:10" ht="12.75">
      <c r="A1288" s="158">
        <f t="shared" si="71"/>
        <v>1206</v>
      </c>
      <c r="B1288" s="4">
        <v>6610</v>
      </c>
      <c r="C1288" s="106" t="s">
        <v>258</v>
      </c>
      <c r="D1288" s="25"/>
      <c r="E1288" s="46"/>
      <c r="F1288" s="138"/>
      <c r="G1288" s="138"/>
      <c r="H1288" s="138"/>
      <c r="I1288" s="203"/>
      <c r="J1288" s="203"/>
    </row>
    <row r="1289" spans="1:10" ht="12.75">
      <c r="A1289" s="158">
        <f t="shared" si="71"/>
        <v>1207</v>
      </c>
      <c r="B1289" s="4"/>
      <c r="C1289" s="106" t="s">
        <v>259</v>
      </c>
      <c r="D1289" s="25"/>
      <c r="E1289" s="46"/>
      <c r="F1289" s="138"/>
      <c r="G1289" s="138"/>
      <c r="H1289" s="138"/>
      <c r="I1289" s="203"/>
      <c r="J1289" s="203"/>
    </row>
    <row r="1290" spans="1:10" ht="12.75">
      <c r="A1290" s="158">
        <f t="shared" si="71"/>
        <v>1208</v>
      </c>
      <c r="B1290" s="4"/>
      <c r="C1290" s="106" t="s">
        <v>260</v>
      </c>
      <c r="D1290" s="25"/>
      <c r="E1290" s="46"/>
      <c r="F1290" s="138">
        <v>6775</v>
      </c>
      <c r="G1290" s="138">
        <v>6775</v>
      </c>
      <c r="H1290" s="138">
        <v>0</v>
      </c>
      <c r="I1290" s="203">
        <f>H1290/G1290</f>
        <v>0</v>
      </c>
      <c r="J1290" s="203">
        <f>H1290/$H$1363</f>
        <v>0</v>
      </c>
    </row>
    <row r="1291" spans="1:10" ht="12.75">
      <c r="A1291" s="158">
        <f t="shared" si="71"/>
        <v>1209</v>
      </c>
      <c r="B1291" s="4">
        <v>6800</v>
      </c>
      <c r="C1291" s="106" t="s">
        <v>359</v>
      </c>
      <c r="D1291" s="25"/>
      <c r="E1291" s="46"/>
      <c r="F1291" s="138"/>
      <c r="G1291" s="138"/>
      <c r="H1291" s="138"/>
      <c r="I1291" s="203"/>
      <c r="J1291" s="203"/>
    </row>
    <row r="1292" spans="1:10" ht="12.75">
      <c r="A1292" s="158">
        <f t="shared" si="71"/>
        <v>1210</v>
      </c>
      <c r="B1292" s="4"/>
      <c r="C1292" s="106" t="s">
        <v>603</v>
      </c>
      <c r="D1292" s="25"/>
      <c r="E1292" s="46"/>
      <c r="F1292" s="138"/>
      <c r="G1292" s="138"/>
      <c r="H1292" s="138"/>
      <c r="I1292" s="203"/>
      <c r="J1292" s="203"/>
    </row>
    <row r="1293" spans="1:10" ht="12.75">
      <c r="A1293" s="158">
        <f t="shared" si="71"/>
        <v>1211</v>
      </c>
      <c r="B1293" s="4"/>
      <c r="C1293" s="106" t="s">
        <v>604</v>
      </c>
      <c r="D1293" s="25"/>
      <c r="E1293" s="46"/>
      <c r="F1293" s="138"/>
      <c r="G1293" s="138"/>
      <c r="H1293" s="138"/>
      <c r="I1293" s="203"/>
      <c r="J1293" s="203"/>
    </row>
    <row r="1294" spans="1:10" ht="12.75">
      <c r="A1294" s="158">
        <f t="shared" si="71"/>
        <v>1212</v>
      </c>
      <c r="B1294" s="4"/>
      <c r="C1294" s="106" t="s">
        <v>605</v>
      </c>
      <c r="D1294" s="25"/>
      <c r="E1294" s="46"/>
      <c r="F1294" s="138"/>
      <c r="G1294" s="138"/>
      <c r="H1294" s="138"/>
      <c r="I1294" s="203"/>
      <c r="J1294" s="203"/>
    </row>
    <row r="1295" spans="1:10" ht="12.75">
      <c r="A1295" s="158">
        <f t="shared" si="71"/>
        <v>1213</v>
      </c>
      <c r="B1295" s="4"/>
      <c r="C1295" s="106" t="s">
        <v>606</v>
      </c>
      <c r="D1295" s="25"/>
      <c r="E1295" s="46"/>
      <c r="F1295" s="138">
        <v>0</v>
      </c>
      <c r="G1295" s="138">
        <v>0</v>
      </c>
      <c r="H1295" s="138">
        <v>200000</v>
      </c>
      <c r="I1295" s="203"/>
      <c r="J1295" s="203">
        <f>H1295/$H$1363</f>
        <v>0.004350610856218489</v>
      </c>
    </row>
    <row r="1296" spans="1:10" s="70" customFormat="1" ht="12.75">
      <c r="A1296" s="158">
        <f t="shared" si="71"/>
        <v>1214</v>
      </c>
      <c r="B1296" s="56">
        <v>921</v>
      </c>
      <c r="C1296" s="78" t="s">
        <v>124</v>
      </c>
      <c r="D1296" s="58"/>
      <c r="E1296" s="71"/>
      <c r="F1296" s="151"/>
      <c r="G1296" s="151"/>
      <c r="H1296" s="151"/>
      <c r="I1296" s="203"/>
      <c r="J1296" s="203"/>
    </row>
    <row r="1297" spans="1:10" s="70" customFormat="1" ht="12.75">
      <c r="A1297" s="158">
        <f t="shared" si="71"/>
        <v>1215</v>
      </c>
      <c r="B1297" s="57"/>
      <c r="C1297" s="78" t="s">
        <v>125</v>
      </c>
      <c r="D1297" s="58"/>
      <c r="E1297" s="59" t="e">
        <f>E1298+E1310+E1327</f>
        <v>#REF!</v>
      </c>
      <c r="F1297" s="58">
        <f>F1298+F1310+F1313+F1327</f>
        <v>1695315</v>
      </c>
      <c r="G1297" s="58">
        <f>G1298+G1310+G1313+G1327</f>
        <v>1393839</v>
      </c>
      <c r="H1297" s="58">
        <f>H1298+H1310+H1313+H1327</f>
        <v>4335800</v>
      </c>
      <c r="I1297" s="203">
        <f>H1297/G1297</f>
        <v>3.110689254641318</v>
      </c>
      <c r="J1297" s="203">
        <f>H1297/$H$1363</f>
        <v>0.09431689275196062</v>
      </c>
    </row>
    <row r="1298" spans="1:10" s="73" customFormat="1" ht="12.75">
      <c r="A1298" s="158">
        <f t="shared" si="71"/>
        <v>1216</v>
      </c>
      <c r="B1298" s="62">
        <v>92109</v>
      </c>
      <c r="C1298" s="68" t="s">
        <v>126</v>
      </c>
      <c r="D1298" s="63"/>
      <c r="E1298" s="64" t="e">
        <f>#REF!</f>
        <v>#REF!</v>
      </c>
      <c r="F1298" s="63">
        <f>SUM(F1300:F1309)</f>
        <v>714265</v>
      </c>
      <c r="G1298" s="63">
        <f>SUM(G1300:G1309)</f>
        <v>714265</v>
      </c>
      <c r="H1298" s="63">
        <f>SUM(H1300:H1309)</f>
        <v>1633500</v>
      </c>
      <c r="I1298" s="203">
        <f>H1298/G1298</f>
        <v>2.2869663220233387</v>
      </c>
      <c r="J1298" s="203">
        <f>H1298/$H$1363</f>
        <v>0.03553361416816451</v>
      </c>
    </row>
    <row r="1299" spans="1:10" s="60" customFormat="1" ht="12.75">
      <c r="A1299" s="158">
        <f t="shared" si="71"/>
        <v>1217</v>
      </c>
      <c r="B1299" s="85">
        <v>2480</v>
      </c>
      <c r="C1299" s="79" t="s">
        <v>233</v>
      </c>
      <c r="D1299" s="84"/>
      <c r="E1299" s="83"/>
      <c r="F1299" s="144"/>
      <c r="G1299" s="144"/>
      <c r="H1299" s="144"/>
      <c r="I1299" s="203"/>
      <c r="J1299" s="203"/>
    </row>
    <row r="1300" spans="1:10" s="60" customFormat="1" ht="12.75">
      <c r="A1300" s="158">
        <f t="shared" si="71"/>
        <v>1218</v>
      </c>
      <c r="B1300" s="85"/>
      <c r="C1300" s="79" t="s">
        <v>234</v>
      </c>
      <c r="D1300" s="84"/>
      <c r="E1300" s="83"/>
      <c r="F1300" s="144">
        <f>684900+29365</f>
        <v>714265</v>
      </c>
      <c r="G1300" s="144">
        <v>714265</v>
      </c>
      <c r="H1300" s="144">
        <v>1041000</v>
      </c>
      <c r="I1300" s="203">
        <f>H1300/G1300</f>
        <v>1.457442265825709</v>
      </c>
      <c r="J1300" s="203">
        <f>H1300/$H$1363</f>
        <v>0.022644929506617235</v>
      </c>
    </row>
    <row r="1301" spans="1:10" s="60" customFormat="1" ht="12.75">
      <c r="A1301" s="158">
        <f t="shared" si="71"/>
        <v>1219</v>
      </c>
      <c r="B1301" s="85"/>
      <c r="C1301" s="79"/>
      <c r="D1301" s="84"/>
      <c r="E1301" s="83"/>
      <c r="F1301" s="144"/>
      <c r="G1301" s="144"/>
      <c r="H1301" s="144"/>
      <c r="I1301" s="203"/>
      <c r="J1301" s="203"/>
    </row>
    <row r="1302" spans="1:10" s="60" customFormat="1" ht="12.75">
      <c r="A1302" s="158">
        <f t="shared" si="71"/>
        <v>1220</v>
      </c>
      <c r="B1302" s="85"/>
      <c r="C1302" s="79"/>
      <c r="D1302" s="84"/>
      <c r="E1302" s="83"/>
      <c r="F1302" s="144"/>
      <c r="G1302" s="144"/>
      <c r="H1302" s="144"/>
      <c r="I1302" s="203"/>
      <c r="J1302" s="203"/>
    </row>
    <row r="1303" spans="1:10" s="60" customFormat="1" ht="12.75">
      <c r="A1303" s="158">
        <f t="shared" si="71"/>
        <v>1221</v>
      </c>
      <c r="B1303" s="85"/>
      <c r="C1303" s="79"/>
      <c r="D1303" s="84"/>
      <c r="E1303" s="83"/>
      <c r="F1303" s="144"/>
      <c r="G1303" s="144"/>
      <c r="H1303" s="144"/>
      <c r="I1303" s="203"/>
      <c r="J1303" s="203"/>
    </row>
    <row r="1304" spans="1:10" s="60" customFormat="1" ht="12.75">
      <c r="A1304" s="158">
        <f t="shared" si="71"/>
        <v>1222</v>
      </c>
      <c r="B1304" s="4">
        <v>6220</v>
      </c>
      <c r="C1304" s="79" t="s">
        <v>564</v>
      </c>
      <c r="D1304" s="84"/>
      <c r="E1304" s="83"/>
      <c r="F1304" s="144"/>
      <c r="G1304" s="144"/>
      <c r="H1304" s="144"/>
      <c r="I1304" s="203"/>
      <c r="J1304" s="203"/>
    </row>
    <row r="1305" spans="1:10" s="60" customFormat="1" ht="12.75">
      <c r="A1305" s="158">
        <f t="shared" si="71"/>
        <v>1223</v>
      </c>
      <c r="B1305" s="4"/>
      <c r="C1305" s="79" t="s">
        <v>534</v>
      </c>
      <c r="D1305" s="84"/>
      <c r="E1305" s="83"/>
      <c r="F1305" s="144"/>
      <c r="G1305" s="144"/>
      <c r="H1305" s="144"/>
      <c r="I1305" s="203"/>
      <c r="J1305" s="203"/>
    </row>
    <row r="1306" spans="1:10" s="60" customFormat="1" ht="12.75">
      <c r="A1306" s="158">
        <f t="shared" si="71"/>
        <v>1224</v>
      </c>
      <c r="B1306" s="4"/>
      <c r="C1306" s="79" t="s">
        <v>535</v>
      </c>
      <c r="D1306" s="84"/>
      <c r="E1306" s="83"/>
      <c r="F1306" s="144"/>
      <c r="G1306" s="144"/>
      <c r="H1306" s="144"/>
      <c r="I1306" s="203"/>
      <c r="J1306" s="203"/>
    </row>
    <row r="1307" spans="1:10" s="60" customFormat="1" ht="12.75">
      <c r="A1307" s="158">
        <f t="shared" si="71"/>
        <v>1225</v>
      </c>
      <c r="B1307" s="4"/>
      <c r="C1307" s="79" t="s">
        <v>655</v>
      </c>
      <c r="D1307" s="84"/>
      <c r="E1307" s="83"/>
      <c r="F1307" s="144"/>
      <c r="G1307" s="144"/>
      <c r="H1307" s="144"/>
      <c r="I1307" s="203"/>
      <c r="J1307" s="203"/>
    </row>
    <row r="1308" spans="1:10" s="60" customFormat="1" ht="12.75">
      <c r="A1308" s="158">
        <f t="shared" si="71"/>
        <v>1226</v>
      </c>
      <c r="B1308" s="4"/>
      <c r="C1308" s="79" t="s">
        <v>656</v>
      </c>
      <c r="D1308" s="84"/>
      <c r="E1308" s="83"/>
      <c r="F1308" s="144"/>
      <c r="G1308" s="144"/>
      <c r="H1308" s="144"/>
      <c r="I1308" s="203"/>
      <c r="J1308" s="203"/>
    </row>
    <row r="1309" spans="1:10" s="60" customFormat="1" ht="12.75">
      <c r="A1309" s="158">
        <f t="shared" si="71"/>
        <v>1227</v>
      </c>
      <c r="B1309" s="4"/>
      <c r="C1309" s="79" t="s">
        <v>657</v>
      </c>
      <c r="D1309" s="84"/>
      <c r="E1309" s="83"/>
      <c r="F1309" s="144">
        <v>0</v>
      </c>
      <c r="G1309" s="144">
        <v>0</v>
      </c>
      <c r="H1309" s="144">
        <v>592500</v>
      </c>
      <c r="I1309" s="203"/>
      <c r="J1309" s="203">
        <f>H1309/$H$1363</f>
        <v>0.012888684661547275</v>
      </c>
    </row>
    <row r="1310" spans="1:10" s="73" customFormat="1" ht="12.75" customHeight="1">
      <c r="A1310" s="158">
        <f t="shared" si="71"/>
        <v>1228</v>
      </c>
      <c r="B1310" s="62">
        <v>92116</v>
      </c>
      <c r="C1310" s="68" t="s">
        <v>48</v>
      </c>
      <c r="D1310" s="63"/>
      <c r="E1310" s="72" t="e">
        <f>#REF!</f>
        <v>#REF!</v>
      </c>
      <c r="F1310" s="148">
        <f>SUM(F1312:F1312)</f>
        <v>264850</v>
      </c>
      <c r="G1310" s="148">
        <f>SUM(G1312:G1312)</f>
        <v>264850</v>
      </c>
      <c r="H1310" s="148">
        <f>SUM(H1312:H1312)</f>
        <v>297300</v>
      </c>
      <c r="I1310" s="203">
        <f>H1310/G1310</f>
        <v>1.1225221823673777</v>
      </c>
      <c r="J1310" s="203">
        <f>H1310/$H$1363</f>
        <v>0.006467183037768784</v>
      </c>
    </row>
    <row r="1311" spans="1:10" s="73" customFormat="1" ht="12.75" customHeight="1">
      <c r="A1311" s="158">
        <f t="shared" si="71"/>
        <v>1229</v>
      </c>
      <c r="B1311" s="85">
        <v>2480</v>
      </c>
      <c r="C1311" s="79" t="s">
        <v>233</v>
      </c>
      <c r="D1311" s="63"/>
      <c r="E1311" s="72"/>
      <c r="F1311" s="148"/>
      <c r="G1311" s="148"/>
      <c r="H1311" s="148"/>
      <c r="I1311" s="203"/>
      <c r="J1311" s="203"/>
    </row>
    <row r="1312" spans="1:10" s="73" customFormat="1" ht="12.75" customHeight="1">
      <c r="A1312" s="158">
        <f t="shared" si="71"/>
        <v>1230</v>
      </c>
      <c r="B1312" s="85"/>
      <c r="C1312" s="79" t="s">
        <v>234</v>
      </c>
      <c r="D1312" s="63"/>
      <c r="E1312" s="72"/>
      <c r="F1312" s="144">
        <v>264850</v>
      </c>
      <c r="G1312" s="144">
        <v>264850</v>
      </c>
      <c r="H1312" s="144">
        <v>297300</v>
      </c>
      <c r="I1312" s="203">
        <f>H1312/G1312</f>
        <v>1.1225221823673777</v>
      </c>
      <c r="J1312" s="203">
        <f>H1312/$H$1363</f>
        <v>0.006467183037768784</v>
      </c>
    </row>
    <row r="1313" spans="1:10" s="177" customFormat="1" ht="12.75" customHeight="1">
      <c r="A1313" s="158">
        <f t="shared" si="71"/>
        <v>1231</v>
      </c>
      <c r="B1313" s="178">
        <v>92120</v>
      </c>
      <c r="C1313" s="179" t="s">
        <v>358</v>
      </c>
      <c r="D1313" s="157"/>
      <c r="E1313" s="161"/>
      <c r="F1313" s="162">
        <f>F1316+F1322+F1326</f>
        <v>302300</v>
      </c>
      <c r="G1313" s="162">
        <f>G1316+G1322+G1326</f>
        <v>18056</v>
      </c>
      <c r="H1313" s="162">
        <f>H1316+H1322+H1326</f>
        <v>440000</v>
      </c>
      <c r="I1313" s="203">
        <f>H1313/G1313</f>
        <v>24.368630926007974</v>
      </c>
      <c r="J1313" s="203">
        <f>H1313/$H$1363</f>
        <v>0.009571343883680677</v>
      </c>
    </row>
    <row r="1314" spans="1:10" s="177" customFormat="1" ht="12.75" customHeight="1">
      <c r="A1314" s="158">
        <f t="shared" si="71"/>
        <v>1232</v>
      </c>
      <c r="B1314" s="14">
        <v>6050</v>
      </c>
      <c r="C1314" s="79" t="s">
        <v>191</v>
      </c>
      <c r="D1314" s="157"/>
      <c r="E1314" s="161"/>
      <c r="F1314" s="162"/>
      <c r="G1314" s="162"/>
      <c r="H1314" s="162"/>
      <c r="I1314" s="203"/>
      <c r="J1314" s="203"/>
    </row>
    <row r="1315" spans="1:10" s="177" customFormat="1" ht="12.75" customHeight="1">
      <c r="A1315" s="158">
        <f t="shared" si="71"/>
        <v>1233</v>
      </c>
      <c r="B1315" s="14"/>
      <c r="C1315" s="106" t="s">
        <v>654</v>
      </c>
      <c r="D1315" s="157"/>
      <c r="E1315" s="161"/>
      <c r="F1315" s="162"/>
      <c r="G1315" s="162"/>
      <c r="H1315" s="162"/>
      <c r="I1315" s="203"/>
      <c r="J1315" s="203"/>
    </row>
    <row r="1316" spans="1:10" s="177" customFormat="1" ht="12.75" customHeight="1">
      <c r="A1316" s="158">
        <f t="shared" si="71"/>
        <v>1234</v>
      </c>
      <c r="B1316" s="178"/>
      <c r="C1316" s="158" t="s">
        <v>360</v>
      </c>
      <c r="D1316" s="157"/>
      <c r="E1316" s="161"/>
      <c r="F1316" s="138">
        <v>100000</v>
      </c>
      <c r="G1316" s="138">
        <f>3416+14640</f>
        <v>18056</v>
      </c>
      <c r="H1316" s="138">
        <v>82000</v>
      </c>
      <c r="I1316" s="203">
        <f>H1316/G1316</f>
        <v>4.541426672574214</v>
      </c>
      <c r="J1316" s="203">
        <f>H1316/$H$1363</f>
        <v>0.0017837504510495805</v>
      </c>
    </row>
    <row r="1317" spans="1:10" s="177" customFormat="1" ht="12.75" customHeight="1">
      <c r="A1317" s="158">
        <f t="shared" si="71"/>
        <v>1235</v>
      </c>
      <c r="B1317" s="137">
        <v>6230</v>
      </c>
      <c r="C1317" s="79" t="s">
        <v>533</v>
      </c>
      <c r="D1317" s="157"/>
      <c r="E1317" s="161"/>
      <c r="F1317" s="138"/>
      <c r="G1317" s="138"/>
      <c r="H1317" s="138"/>
      <c r="I1317" s="203"/>
      <c r="J1317" s="203"/>
    </row>
    <row r="1318" spans="1:10" s="177" customFormat="1" ht="12.75" customHeight="1">
      <c r="A1318" s="158">
        <f t="shared" si="71"/>
        <v>1236</v>
      </c>
      <c r="B1318" s="137"/>
      <c r="C1318" s="79" t="s">
        <v>534</v>
      </c>
      <c r="D1318" s="157"/>
      <c r="E1318" s="161"/>
      <c r="F1318" s="138"/>
      <c r="G1318" s="138"/>
      <c r="H1318" s="138"/>
      <c r="I1318" s="203"/>
      <c r="J1318" s="203"/>
    </row>
    <row r="1319" spans="1:10" s="177" customFormat="1" ht="12.75" customHeight="1">
      <c r="A1319" s="158">
        <f t="shared" si="71"/>
        <v>1237</v>
      </c>
      <c r="B1319" s="137"/>
      <c r="C1319" s="79" t="s">
        <v>537</v>
      </c>
      <c r="D1319" s="157"/>
      <c r="E1319" s="161"/>
      <c r="F1319" s="138"/>
      <c r="G1319" s="138"/>
      <c r="H1319" s="138"/>
      <c r="I1319" s="203"/>
      <c r="J1319" s="203"/>
    </row>
    <row r="1320" spans="1:10" s="177" customFormat="1" ht="12.75" customHeight="1">
      <c r="A1320" s="158">
        <f t="shared" si="71"/>
        <v>1238</v>
      </c>
      <c r="B1320" s="137"/>
      <c r="C1320" s="40" t="s">
        <v>536</v>
      </c>
      <c r="D1320" s="157"/>
      <c r="E1320" s="161"/>
      <c r="F1320" s="138"/>
      <c r="G1320" s="138"/>
      <c r="H1320" s="138"/>
      <c r="I1320" s="203"/>
      <c r="J1320" s="203"/>
    </row>
    <row r="1321" spans="1:10" s="177" customFormat="1" ht="12.75" customHeight="1">
      <c r="A1321" s="158">
        <f t="shared" si="71"/>
        <v>1239</v>
      </c>
      <c r="B1321" s="137"/>
      <c r="C1321" s="40" t="s">
        <v>538</v>
      </c>
      <c r="D1321" s="157"/>
      <c r="E1321" s="161"/>
      <c r="F1321" s="138"/>
      <c r="G1321" s="138"/>
      <c r="H1321" s="138"/>
      <c r="I1321" s="203"/>
      <c r="J1321" s="203"/>
    </row>
    <row r="1322" spans="1:10" s="177" customFormat="1" ht="12.75" customHeight="1">
      <c r="A1322" s="158">
        <f t="shared" si="71"/>
        <v>1240</v>
      </c>
      <c r="B1322" s="137"/>
      <c r="C1322" s="40" t="s">
        <v>539</v>
      </c>
      <c r="D1322" s="157"/>
      <c r="E1322" s="161"/>
      <c r="F1322" s="138">
        <v>108000</v>
      </c>
      <c r="G1322" s="138">
        <v>0</v>
      </c>
      <c r="H1322" s="138">
        <v>108000</v>
      </c>
      <c r="I1322" s="203"/>
      <c r="J1322" s="203">
        <f>H1322/$H$1363</f>
        <v>0.002349329862357984</v>
      </c>
    </row>
    <row r="1323" spans="1:10" s="73" customFormat="1" ht="12.75" customHeight="1">
      <c r="A1323" s="158">
        <f t="shared" si="71"/>
        <v>1241</v>
      </c>
      <c r="B1323" s="85">
        <v>6800</v>
      </c>
      <c r="C1323" s="79" t="s">
        <v>359</v>
      </c>
      <c r="D1323" s="63"/>
      <c r="E1323" s="72"/>
      <c r="F1323" s="144"/>
      <c r="G1323" s="144"/>
      <c r="H1323" s="144"/>
      <c r="I1323" s="203"/>
      <c r="J1323" s="203"/>
    </row>
    <row r="1324" spans="1:10" s="73" customFormat="1" ht="12.75" customHeight="1">
      <c r="A1324" s="158">
        <f t="shared" si="71"/>
        <v>1242</v>
      </c>
      <c r="B1324" s="85"/>
      <c r="C1324" s="79" t="s">
        <v>556</v>
      </c>
      <c r="D1324" s="63"/>
      <c r="E1324" s="72"/>
      <c r="F1324" s="144"/>
      <c r="G1324" s="144"/>
      <c r="H1324" s="144"/>
      <c r="I1324" s="203"/>
      <c r="J1324" s="203"/>
    </row>
    <row r="1325" spans="1:10" s="73" customFormat="1" ht="12.75" customHeight="1">
      <c r="A1325" s="158">
        <f t="shared" si="71"/>
        <v>1243</v>
      </c>
      <c r="B1325" s="85"/>
      <c r="C1325" s="79" t="s">
        <v>557</v>
      </c>
      <c r="D1325" s="63"/>
      <c r="E1325" s="72"/>
      <c r="F1325" s="144"/>
      <c r="G1325" s="144"/>
      <c r="H1325" s="144"/>
      <c r="I1325" s="203"/>
      <c r="J1325" s="203"/>
    </row>
    <row r="1326" spans="1:10" s="73" customFormat="1" ht="12.75" customHeight="1">
      <c r="A1326" s="158">
        <f t="shared" si="71"/>
        <v>1244</v>
      </c>
      <c r="B1326" s="85"/>
      <c r="C1326" s="79" t="s">
        <v>558</v>
      </c>
      <c r="D1326" s="63"/>
      <c r="E1326" s="72"/>
      <c r="F1326" s="144">
        <v>94300</v>
      </c>
      <c r="G1326" s="144">
        <v>0</v>
      </c>
      <c r="H1326" s="144">
        <v>250000</v>
      </c>
      <c r="I1326" s="203"/>
      <c r="J1326" s="203">
        <f>H1326/$H$1363</f>
        <v>0.005438263570273111</v>
      </c>
    </row>
    <row r="1327" spans="1:10" s="73" customFormat="1" ht="12.75">
      <c r="A1327" s="158">
        <f t="shared" si="71"/>
        <v>1245</v>
      </c>
      <c r="B1327" s="62">
        <v>92195</v>
      </c>
      <c r="C1327" s="68" t="s">
        <v>25</v>
      </c>
      <c r="D1327" s="63"/>
      <c r="E1327" s="64" t="e">
        <f>#REF!+#REF!+#REF!</f>
        <v>#REF!</v>
      </c>
      <c r="F1327" s="63">
        <f>F1329+F1333</f>
        <v>413900</v>
      </c>
      <c r="G1327" s="63">
        <f>G1329+G1333</f>
        <v>396668</v>
      </c>
      <c r="H1327" s="63">
        <f>H1329+H1333</f>
        <v>1965000</v>
      </c>
      <c r="I1327" s="203">
        <f>H1327/G1327</f>
        <v>4.953764861294584</v>
      </c>
      <c r="J1327" s="203">
        <f>H1327/$H$1363</f>
        <v>0.042744751662346654</v>
      </c>
    </row>
    <row r="1328" spans="1:10" ht="12.75">
      <c r="A1328" s="158">
        <f t="shared" si="71"/>
        <v>1246</v>
      </c>
      <c r="B1328" s="4">
        <v>2820</v>
      </c>
      <c r="C1328" s="79" t="s">
        <v>217</v>
      </c>
      <c r="D1328" s="25"/>
      <c r="E1328" s="46"/>
      <c r="F1328" s="138"/>
      <c r="G1328" s="138"/>
      <c r="H1328" s="138"/>
      <c r="I1328" s="203"/>
      <c r="J1328" s="203"/>
    </row>
    <row r="1329" spans="1:10" ht="12.75">
      <c r="A1329" s="158">
        <f t="shared" si="71"/>
        <v>1247</v>
      </c>
      <c r="B1329" s="4"/>
      <c r="C1329" s="79" t="s">
        <v>218</v>
      </c>
      <c r="D1329" s="25"/>
      <c r="E1329" s="46"/>
      <c r="F1329" s="138">
        <f>SUM(F1331:F1332)</f>
        <v>75700</v>
      </c>
      <c r="G1329" s="138">
        <f>SUM(G1331:G1332)</f>
        <v>75000</v>
      </c>
      <c r="H1329" s="138">
        <f>SUM(H1331:H1332)</f>
        <v>0</v>
      </c>
      <c r="I1329" s="203">
        <f>H1329/G1329</f>
        <v>0</v>
      </c>
      <c r="J1329" s="203">
        <f>H1329/$H$1363</f>
        <v>0</v>
      </c>
    </row>
    <row r="1330" spans="1:10" ht="12.75">
      <c r="A1330" s="158">
        <f t="shared" si="71"/>
        <v>1248</v>
      </c>
      <c r="B1330" s="4"/>
      <c r="C1330" s="79" t="s">
        <v>15</v>
      </c>
      <c r="D1330" s="25"/>
      <c r="E1330" s="46">
        <v>27500</v>
      </c>
      <c r="F1330" s="138"/>
      <c r="G1330" s="138"/>
      <c r="H1330" s="138"/>
      <c r="I1330" s="203"/>
      <c r="J1330" s="203"/>
    </row>
    <row r="1331" spans="1:10" ht="12.75">
      <c r="A1331" s="158">
        <f t="shared" si="71"/>
        <v>1249</v>
      </c>
      <c r="B1331" s="4"/>
      <c r="C1331" s="79" t="s">
        <v>476</v>
      </c>
      <c r="D1331" s="175"/>
      <c r="E1331" s="46"/>
      <c r="F1331" s="138">
        <v>45700</v>
      </c>
      <c r="G1331" s="138">
        <v>45000</v>
      </c>
      <c r="H1331" s="138">
        <v>0</v>
      </c>
      <c r="I1331" s="203">
        <f>H1331/G1331</f>
        <v>0</v>
      </c>
      <c r="J1331" s="203">
        <f>H1331/$H$1363</f>
        <v>0</v>
      </c>
    </row>
    <row r="1332" spans="1:10" ht="12.75">
      <c r="A1332" s="158">
        <f t="shared" si="71"/>
        <v>1250</v>
      </c>
      <c r="B1332" s="4"/>
      <c r="C1332" s="79" t="s">
        <v>477</v>
      </c>
      <c r="D1332" s="175"/>
      <c r="E1332" s="46"/>
      <c r="F1332" s="138">
        <v>30000</v>
      </c>
      <c r="G1332" s="138">
        <v>30000</v>
      </c>
      <c r="H1332" s="138">
        <v>0</v>
      </c>
      <c r="I1332" s="203">
        <f>H1332/G1332</f>
        <v>0</v>
      </c>
      <c r="J1332" s="203">
        <f>H1332/$H$1363</f>
        <v>0</v>
      </c>
    </row>
    <row r="1333" spans="1:10" ht="12.75">
      <c r="A1333" s="158">
        <f t="shared" si="71"/>
        <v>1251</v>
      </c>
      <c r="B1333" s="4">
        <v>6050</v>
      </c>
      <c r="C1333" s="79" t="s">
        <v>191</v>
      </c>
      <c r="D1333" s="175"/>
      <c r="E1333" s="46"/>
      <c r="F1333" s="138">
        <f>SUM(F1339:F1347)</f>
        <v>338200</v>
      </c>
      <c r="G1333" s="138">
        <f>SUM(G1339:G1347)</f>
        <v>321668</v>
      </c>
      <c r="H1333" s="138">
        <f>SUM(H1339:H1347)</f>
        <v>1965000</v>
      </c>
      <c r="I1333" s="203">
        <f>H1333/G1333</f>
        <v>6.108782968775259</v>
      </c>
      <c r="J1333" s="203">
        <f>H1333/$H$1363</f>
        <v>0.042744751662346654</v>
      </c>
    </row>
    <row r="1334" spans="1:10" ht="12.75">
      <c r="A1334" s="158">
        <f t="shared" si="71"/>
        <v>1252</v>
      </c>
      <c r="B1334" s="4"/>
      <c r="C1334" s="79" t="s">
        <v>15</v>
      </c>
      <c r="D1334" s="175"/>
      <c r="E1334" s="46"/>
      <c r="F1334" s="138"/>
      <c r="G1334" s="138"/>
      <c r="H1334" s="138"/>
      <c r="I1334" s="203"/>
      <c r="J1334" s="203"/>
    </row>
    <row r="1335" spans="1:10" ht="12.75">
      <c r="A1335" s="158">
        <f aca="true" t="shared" si="72" ref="A1335:A1363">A1334+1</f>
        <v>1253</v>
      </c>
      <c r="B1335" s="4"/>
      <c r="C1335" s="79" t="s">
        <v>649</v>
      </c>
      <c r="D1335" s="175"/>
      <c r="E1335" s="46"/>
      <c r="F1335" s="138"/>
      <c r="G1335" s="138"/>
      <c r="H1335" s="138"/>
      <c r="I1335" s="203"/>
      <c r="J1335" s="203"/>
    </row>
    <row r="1336" spans="1:10" ht="12.75">
      <c r="A1336" s="158">
        <f t="shared" si="72"/>
        <v>1254</v>
      </c>
      <c r="B1336" s="4"/>
      <c r="C1336" s="79" t="s">
        <v>540</v>
      </c>
      <c r="D1336" s="175"/>
      <c r="E1336" s="46"/>
      <c r="F1336" s="138"/>
      <c r="G1336" s="138"/>
      <c r="H1336" s="138"/>
      <c r="I1336" s="203"/>
      <c r="J1336" s="203"/>
    </row>
    <row r="1337" spans="1:10" ht="12.75">
      <c r="A1337" s="158">
        <f t="shared" si="72"/>
        <v>1255</v>
      </c>
      <c r="B1337" s="4"/>
      <c r="C1337" s="79" t="s">
        <v>541</v>
      </c>
      <c r="D1337" s="175"/>
      <c r="E1337" s="46"/>
      <c r="F1337" s="138"/>
      <c r="G1337" s="138"/>
      <c r="H1337" s="138"/>
      <c r="I1337" s="203"/>
      <c r="J1337" s="203"/>
    </row>
    <row r="1338" spans="1:10" ht="12.75">
      <c r="A1338" s="158">
        <f t="shared" si="72"/>
        <v>1256</v>
      </c>
      <c r="B1338" s="4"/>
      <c r="C1338" s="79" t="s">
        <v>542</v>
      </c>
      <c r="D1338" s="175"/>
      <c r="E1338" s="46"/>
      <c r="F1338" s="138"/>
      <c r="G1338" s="138"/>
      <c r="H1338" s="138"/>
      <c r="I1338" s="203"/>
      <c r="J1338" s="203"/>
    </row>
    <row r="1339" spans="1:10" ht="12.75">
      <c r="A1339" s="158">
        <f t="shared" si="72"/>
        <v>1257</v>
      </c>
      <c r="B1339" s="4"/>
      <c r="C1339" s="79" t="s">
        <v>543</v>
      </c>
      <c r="D1339" s="175"/>
      <c r="E1339" s="46"/>
      <c r="F1339" s="138">
        <v>272000</v>
      </c>
      <c r="G1339" s="138">
        <f>111508+143960</f>
        <v>255468</v>
      </c>
      <c r="H1339" s="138"/>
      <c r="I1339" s="203">
        <f>H1339/G1339</f>
        <v>0</v>
      </c>
      <c r="J1339" s="203">
        <f>H1339/$H$1363</f>
        <v>0</v>
      </c>
    </row>
    <row r="1340" spans="1:10" ht="12.75">
      <c r="A1340" s="158">
        <f t="shared" si="72"/>
        <v>1258</v>
      </c>
      <c r="B1340" s="4"/>
      <c r="C1340" s="79" t="s">
        <v>478</v>
      </c>
      <c r="D1340" s="175"/>
      <c r="E1340" s="46"/>
      <c r="F1340" s="138">
        <v>12200</v>
      </c>
      <c r="G1340" s="138">
        <v>12200</v>
      </c>
      <c r="H1340" s="138"/>
      <c r="I1340" s="203">
        <f>H1340/G1340</f>
        <v>0</v>
      </c>
      <c r="J1340" s="203">
        <f>H1340/$H$1363</f>
        <v>0</v>
      </c>
    </row>
    <row r="1341" spans="1:10" ht="12.75">
      <c r="A1341" s="158">
        <f t="shared" si="72"/>
        <v>1259</v>
      </c>
      <c r="B1341" s="4"/>
      <c r="C1341" s="79" t="s">
        <v>651</v>
      </c>
      <c r="D1341" s="175"/>
      <c r="E1341" s="46"/>
      <c r="F1341" s="138">
        <v>0</v>
      </c>
      <c r="G1341" s="138">
        <v>0</v>
      </c>
      <c r="H1341" s="138">
        <v>315000</v>
      </c>
      <c r="I1341" s="203"/>
      <c r="J1341" s="203">
        <f>H1341/$H$1363</f>
        <v>0.006852212098544121</v>
      </c>
    </row>
    <row r="1342" spans="1:10" ht="12.75">
      <c r="A1342" s="158">
        <f t="shared" si="72"/>
        <v>1260</v>
      </c>
      <c r="B1342" s="4"/>
      <c r="C1342" s="79" t="s">
        <v>652</v>
      </c>
      <c r="D1342" s="175"/>
      <c r="E1342" s="46"/>
      <c r="F1342" s="138">
        <v>0</v>
      </c>
      <c r="G1342" s="138">
        <v>0</v>
      </c>
      <c r="H1342" s="138">
        <v>500000</v>
      </c>
      <c r="I1342" s="203"/>
      <c r="J1342" s="203">
        <f>H1342/$H$1363</f>
        <v>0.010876527140546223</v>
      </c>
    </row>
    <row r="1343" spans="1:10" ht="12.75">
      <c r="A1343" s="158">
        <f t="shared" si="72"/>
        <v>1261</v>
      </c>
      <c r="B1343" s="4"/>
      <c r="C1343" s="79" t="s">
        <v>649</v>
      </c>
      <c r="D1343" s="175"/>
      <c r="E1343" s="46"/>
      <c r="F1343" s="138"/>
      <c r="G1343" s="138"/>
      <c r="H1343" s="138"/>
      <c r="I1343" s="203"/>
      <c r="J1343" s="203"/>
    </row>
    <row r="1344" spans="1:10" ht="12.75">
      <c r="A1344" s="158">
        <f t="shared" si="72"/>
        <v>1262</v>
      </c>
      <c r="B1344" s="4"/>
      <c r="C1344" s="79" t="s">
        <v>653</v>
      </c>
      <c r="D1344" s="175"/>
      <c r="E1344" s="46"/>
      <c r="F1344" s="138">
        <v>0</v>
      </c>
      <c r="G1344" s="138">
        <v>0</v>
      </c>
      <c r="H1344" s="138">
        <v>1000000</v>
      </c>
      <c r="I1344" s="203"/>
      <c r="J1344" s="203">
        <f>H1344/$H$1363</f>
        <v>0.021753054281092445</v>
      </c>
    </row>
    <row r="1345" spans="1:10" ht="12.75">
      <c r="A1345" s="158">
        <f t="shared" si="72"/>
        <v>1263</v>
      </c>
      <c r="B1345" s="4"/>
      <c r="C1345" s="79" t="s">
        <v>650</v>
      </c>
      <c r="D1345" s="175"/>
      <c r="E1345" s="46"/>
      <c r="F1345" s="138">
        <v>9000</v>
      </c>
      <c r="G1345" s="138">
        <v>9000</v>
      </c>
      <c r="H1345" s="138">
        <v>150000</v>
      </c>
      <c r="I1345" s="203"/>
      <c r="J1345" s="203">
        <f>H1345/$H$1363</f>
        <v>0.003262958142163867</v>
      </c>
    </row>
    <row r="1346" spans="1:10" ht="12.75">
      <c r="A1346" s="158">
        <f t="shared" si="72"/>
        <v>1264</v>
      </c>
      <c r="B1346" s="4"/>
      <c r="C1346" s="79" t="s">
        <v>545</v>
      </c>
      <c r="D1346" s="175"/>
      <c r="E1346" s="46"/>
      <c r="F1346" s="138"/>
      <c r="G1346" s="138"/>
      <c r="H1346" s="138"/>
      <c r="I1346" s="203"/>
      <c r="J1346" s="203"/>
    </row>
    <row r="1347" spans="1:10" ht="12.75">
      <c r="A1347" s="158">
        <f t="shared" si="72"/>
        <v>1265</v>
      </c>
      <c r="B1347" s="4"/>
      <c r="C1347" s="79" t="s">
        <v>544</v>
      </c>
      <c r="D1347" s="175"/>
      <c r="E1347" s="46"/>
      <c r="F1347" s="138">
        <v>45000</v>
      </c>
      <c r="G1347" s="138">
        <v>45000</v>
      </c>
      <c r="H1347" s="138"/>
      <c r="I1347" s="203"/>
      <c r="J1347" s="203"/>
    </row>
    <row r="1348" spans="1:10" s="70" customFormat="1" ht="12.75">
      <c r="A1348" s="158">
        <f t="shared" si="72"/>
        <v>1266</v>
      </c>
      <c r="B1348" s="56">
        <v>926</v>
      </c>
      <c r="C1348" s="78" t="s">
        <v>149</v>
      </c>
      <c r="D1348" s="86"/>
      <c r="E1348" s="58" t="e">
        <f>E1349</f>
        <v>#REF!</v>
      </c>
      <c r="F1348" s="58">
        <f>F1349</f>
        <v>212411</v>
      </c>
      <c r="G1348" s="58">
        <f>G1349</f>
        <v>202261</v>
      </c>
      <c r="H1348" s="58">
        <f>H1349</f>
        <v>304800</v>
      </c>
      <c r="I1348" s="203">
        <f>H1348/G1348</f>
        <v>1.5069637745289501</v>
      </c>
      <c r="J1348" s="203">
        <f>H1348/$H$1363</f>
        <v>0.006630330944876977</v>
      </c>
    </row>
    <row r="1349" spans="1:10" s="73" customFormat="1" ht="12.75">
      <c r="A1349" s="158">
        <f t="shared" si="72"/>
        <v>1267</v>
      </c>
      <c r="B1349" s="62">
        <v>92695</v>
      </c>
      <c r="C1349" s="68" t="s">
        <v>25</v>
      </c>
      <c r="D1349" s="87"/>
      <c r="E1349" s="63" t="e">
        <f>E1354+#REF!+#REF!</f>
        <v>#REF!</v>
      </c>
      <c r="F1349" s="63">
        <f>SUM(F1351:F1362)</f>
        <v>212411</v>
      </c>
      <c r="G1349" s="63">
        <f>SUM(G1351:G1362)</f>
        <v>202261</v>
      </c>
      <c r="H1349" s="63">
        <f>SUM(H1351:H1362)</f>
        <v>304800</v>
      </c>
      <c r="I1349" s="203">
        <f>H1349/G1349</f>
        <v>1.5069637745289501</v>
      </c>
      <c r="J1349" s="203">
        <f>H1349/$H$1363</f>
        <v>0.006630330944876977</v>
      </c>
    </row>
    <row r="1350" spans="1:10" s="217" customFormat="1" ht="12.75">
      <c r="A1350" s="158">
        <f t="shared" si="72"/>
        <v>1268</v>
      </c>
      <c r="B1350" s="137">
        <v>2820</v>
      </c>
      <c r="C1350" s="40" t="s">
        <v>217</v>
      </c>
      <c r="D1350" s="215"/>
      <c r="E1350" s="216"/>
      <c r="F1350" s="138"/>
      <c r="G1350" s="138"/>
      <c r="H1350" s="138"/>
      <c r="I1350" s="203"/>
      <c r="J1350" s="203"/>
    </row>
    <row r="1351" spans="1:10" s="217" customFormat="1" ht="12.75">
      <c r="A1351" s="158">
        <f t="shared" si="72"/>
        <v>1269</v>
      </c>
      <c r="B1351" s="137"/>
      <c r="C1351" s="40" t="s">
        <v>218</v>
      </c>
      <c r="D1351" s="215"/>
      <c r="E1351" s="216"/>
      <c r="F1351" s="218">
        <v>0</v>
      </c>
      <c r="G1351" s="218">
        <v>0</v>
      </c>
      <c r="H1351" s="218">
        <v>145000</v>
      </c>
      <c r="I1351" s="203"/>
      <c r="J1351" s="203">
        <f aca="true" t="shared" si="73" ref="J1351:J1360">H1351/$H$1363</f>
        <v>0.0031541928707584047</v>
      </c>
    </row>
    <row r="1352" spans="1:10" s="60" customFormat="1" ht="12.75">
      <c r="A1352" s="158">
        <f t="shared" si="72"/>
        <v>1270</v>
      </c>
      <c r="B1352" s="85">
        <v>3250</v>
      </c>
      <c r="C1352" s="79" t="s">
        <v>479</v>
      </c>
      <c r="D1352" s="134"/>
      <c r="E1352" s="84"/>
      <c r="F1352" s="144">
        <v>37910</v>
      </c>
      <c r="G1352" s="144">
        <v>27760</v>
      </c>
      <c r="H1352" s="144">
        <v>75000</v>
      </c>
      <c r="I1352" s="203">
        <f aca="true" t="shared" si="74" ref="I1352:I1360">H1352/G1352</f>
        <v>2.701729106628242</v>
      </c>
      <c r="J1352" s="203">
        <f t="shared" si="73"/>
        <v>0.0016314790710819334</v>
      </c>
    </row>
    <row r="1353" spans="1:10" ht="12.75">
      <c r="A1353" s="158">
        <f t="shared" si="72"/>
        <v>1271</v>
      </c>
      <c r="B1353" s="4">
        <v>4110</v>
      </c>
      <c r="C1353" s="79" t="s">
        <v>289</v>
      </c>
      <c r="E1353" s="45"/>
      <c r="F1353" s="144">
        <v>1810</v>
      </c>
      <c r="G1353" s="144">
        <v>1810</v>
      </c>
      <c r="H1353" s="144">
        <v>0</v>
      </c>
      <c r="I1353" s="203">
        <f t="shared" si="74"/>
        <v>0</v>
      </c>
      <c r="J1353" s="203">
        <f t="shared" si="73"/>
        <v>0</v>
      </c>
    </row>
    <row r="1354" spans="1:10" ht="12.75">
      <c r="A1354" s="158">
        <f t="shared" si="72"/>
        <v>1272</v>
      </c>
      <c r="B1354" s="4">
        <v>4120</v>
      </c>
      <c r="C1354" s="79" t="s">
        <v>290</v>
      </c>
      <c r="E1354" s="45" t="e">
        <f>SUM(#REF!)</f>
        <v>#REF!</v>
      </c>
      <c r="F1354" s="144">
        <v>280</v>
      </c>
      <c r="G1354" s="144">
        <v>280</v>
      </c>
      <c r="H1354" s="144">
        <v>0</v>
      </c>
      <c r="I1354" s="203">
        <f t="shared" si="74"/>
        <v>0</v>
      </c>
      <c r="J1354" s="203">
        <f t="shared" si="73"/>
        <v>0</v>
      </c>
    </row>
    <row r="1355" spans="1:10" ht="12.75">
      <c r="A1355" s="158">
        <f t="shared" si="72"/>
        <v>1273</v>
      </c>
      <c r="B1355" s="37">
        <v>4170</v>
      </c>
      <c r="C1355" s="106" t="s">
        <v>291</v>
      </c>
      <c r="E1355" s="89"/>
      <c r="F1355" s="144">
        <v>61000</v>
      </c>
      <c r="G1355" s="144">
        <v>61000</v>
      </c>
      <c r="H1355" s="144">
        <v>0</v>
      </c>
      <c r="I1355" s="203">
        <f t="shared" si="74"/>
        <v>0</v>
      </c>
      <c r="J1355" s="203">
        <f t="shared" si="73"/>
        <v>0</v>
      </c>
    </row>
    <row r="1356" spans="1:10" ht="12.75">
      <c r="A1356" s="158">
        <f t="shared" si="72"/>
        <v>1274</v>
      </c>
      <c r="B1356" s="37">
        <v>4210</v>
      </c>
      <c r="C1356" s="106" t="s">
        <v>292</v>
      </c>
      <c r="E1356" s="89"/>
      <c r="F1356" s="144">
        <v>37000</v>
      </c>
      <c r="G1356" s="144">
        <v>37000</v>
      </c>
      <c r="H1356" s="144">
        <v>0</v>
      </c>
      <c r="I1356" s="203">
        <f t="shared" si="74"/>
        <v>0</v>
      </c>
      <c r="J1356" s="203">
        <f t="shared" si="73"/>
        <v>0</v>
      </c>
    </row>
    <row r="1357" spans="1:10" ht="12.75">
      <c r="A1357" s="158">
        <f t="shared" si="72"/>
        <v>1275</v>
      </c>
      <c r="B1357" s="37">
        <v>4300</v>
      </c>
      <c r="C1357" s="79" t="s">
        <v>293</v>
      </c>
      <c r="E1357" s="89"/>
      <c r="F1357" s="144">
        <v>60000</v>
      </c>
      <c r="G1357" s="144">
        <v>60000</v>
      </c>
      <c r="H1357" s="144">
        <v>20000</v>
      </c>
      <c r="I1357" s="203">
        <f t="shared" si="74"/>
        <v>0.3333333333333333</v>
      </c>
      <c r="J1357" s="203">
        <f t="shared" si="73"/>
        <v>0.0004350610856218489</v>
      </c>
    </row>
    <row r="1358" spans="1:10" ht="12.75">
      <c r="A1358" s="158">
        <f t="shared" si="72"/>
        <v>1276</v>
      </c>
      <c r="B1358" s="37">
        <v>4410</v>
      </c>
      <c r="C1358" s="79" t="s">
        <v>294</v>
      </c>
      <c r="E1358" s="89"/>
      <c r="F1358" s="144">
        <v>3000</v>
      </c>
      <c r="G1358" s="144">
        <v>3000</v>
      </c>
      <c r="H1358" s="144">
        <v>0</v>
      </c>
      <c r="I1358" s="203">
        <f t="shared" si="74"/>
        <v>0</v>
      </c>
      <c r="J1358" s="203">
        <f t="shared" si="73"/>
        <v>0</v>
      </c>
    </row>
    <row r="1359" spans="1:10" ht="12.75">
      <c r="A1359" s="158">
        <f t="shared" si="72"/>
        <v>1277</v>
      </c>
      <c r="B1359" s="37">
        <v>4430</v>
      </c>
      <c r="C1359" s="79" t="s">
        <v>295</v>
      </c>
      <c r="E1359" s="89"/>
      <c r="F1359" s="144">
        <v>7000</v>
      </c>
      <c r="G1359" s="144">
        <v>7000</v>
      </c>
      <c r="H1359" s="144">
        <v>0</v>
      </c>
      <c r="I1359" s="203">
        <f t="shared" si="74"/>
        <v>0</v>
      </c>
      <c r="J1359" s="203">
        <f t="shared" si="73"/>
        <v>0</v>
      </c>
    </row>
    <row r="1360" spans="1:10" ht="12.75">
      <c r="A1360" s="158">
        <f t="shared" si="72"/>
        <v>1278</v>
      </c>
      <c r="B1360" s="163">
        <v>4480</v>
      </c>
      <c r="C1360" s="79" t="s">
        <v>329</v>
      </c>
      <c r="E1360" s="89"/>
      <c r="F1360" s="84">
        <v>4411</v>
      </c>
      <c r="G1360" s="84">
        <v>4411</v>
      </c>
      <c r="H1360" s="144">
        <v>4800</v>
      </c>
      <c r="I1360" s="203">
        <f t="shared" si="74"/>
        <v>1.0881886193606891</v>
      </c>
      <c r="J1360" s="203">
        <f t="shared" si="73"/>
        <v>0.00010441466054924374</v>
      </c>
    </row>
    <row r="1361" spans="1:10" s="37" customFormat="1" ht="12.75">
      <c r="A1361" s="158">
        <f t="shared" si="72"/>
        <v>1279</v>
      </c>
      <c r="B1361" s="37">
        <v>6060</v>
      </c>
      <c r="C1361" s="79" t="s">
        <v>550</v>
      </c>
      <c r="D1361" s="38"/>
      <c r="E1361" s="89"/>
      <c r="F1361" s="138">
        <v>0</v>
      </c>
      <c r="G1361" s="138">
        <v>0</v>
      </c>
      <c r="H1361" s="28">
        <v>0</v>
      </c>
      <c r="I1361" s="208"/>
      <c r="J1361" s="208"/>
    </row>
    <row r="1362" spans="1:10" ht="12.75">
      <c r="A1362" s="158">
        <f t="shared" si="72"/>
        <v>1280</v>
      </c>
      <c r="B1362" s="3"/>
      <c r="C1362" s="122" t="s">
        <v>658</v>
      </c>
      <c r="D1362" s="22"/>
      <c r="E1362" s="91"/>
      <c r="F1362" s="198">
        <v>0</v>
      </c>
      <c r="G1362" s="155">
        <v>0</v>
      </c>
      <c r="H1362" s="155">
        <v>60000</v>
      </c>
      <c r="I1362" s="205"/>
      <c r="J1362" s="207">
        <f>H1362/$H$1363</f>
        <v>0.0013051832568655468</v>
      </c>
    </row>
    <row r="1363" spans="1:10" s="70" customFormat="1" ht="12.75">
      <c r="A1363" s="169">
        <f t="shared" si="72"/>
        <v>1281</v>
      </c>
      <c r="B1363" s="129"/>
      <c r="C1363" s="130" t="s">
        <v>151</v>
      </c>
      <c r="D1363" s="131"/>
      <c r="E1363" s="132" t="e">
        <f>E1348++E1297+E1193+E1050+#REF!+E900+E565+E556+E543+E471+E452+E251+E220+E172+E164+E80+E67</f>
        <v>#REF!</v>
      </c>
      <c r="F1363" s="156">
        <f>F1348+F1297+F1193+F1050+F931+F900+F565+F556+F543+F471+F452+F251+F220+F172+F164+F80+F67</f>
        <v>36660889.17</v>
      </c>
      <c r="G1363" s="156">
        <f>G1348+G1297+G1193+G1050+G931+G900+G565+G556+G543+G471+G452+G251+G220+G172+G164+G80+G67</f>
        <v>33104864.790000003</v>
      </c>
      <c r="H1363" s="156">
        <f>H1348+H1297+H1193+H1050+H931+H900+H565+H556+H543+H471+H462+H452+H251+H220+H172+H164+H80+H67</f>
        <v>45970556</v>
      </c>
      <c r="I1363" s="210">
        <f>G1363/F1363</f>
        <v>0.9030022331561469</v>
      </c>
      <c r="J1363" s="210">
        <f>G1363/G$54</f>
        <v>1.0000000000000002</v>
      </c>
    </row>
    <row r="1364" ht="12.75">
      <c r="E1364" s="88"/>
    </row>
    <row r="1366" ht="12.75">
      <c r="H1366" s="221"/>
    </row>
  </sheetData>
  <printOptions/>
  <pageMargins left="0.2755905511811024" right="0" top="0.7086614173228347" bottom="0.5118110236220472" header="0.31496062992125984" footer="0.11811023622047245"/>
  <pageSetup horizontalDpi="600" verticalDpi="600" orientation="portrait" paperSize="9" r:id="rId1"/>
  <headerFooter alignWithMargins="0">
    <oddHeader>&amp;C&amp;F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xxx</cp:lastModifiedBy>
  <cp:lastPrinted>2007-11-14T09:44:06Z</cp:lastPrinted>
  <dcterms:created xsi:type="dcterms:W3CDTF">2000-10-12T12:51:35Z</dcterms:created>
  <dcterms:modified xsi:type="dcterms:W3CDTF">2007-11-14T09:44:59Z</dcterms:modified>
  <cp:category/>
  <cp:version/>
  <cp:contentType/>
  <cp:contentStatus/>
</cp:coreProperties>
</file>