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5475" activeTab="0"/>
  </bookViews>
  <sheets>
    <sheet name="OPIS97" sheetId="1" r:id="rId1"/>
  </sheets>
  <definedNames>
    <definedName name="_xlnm.Print_Area" localSheetId="0">'OPIS97'!$A$1:$J$652</definedName>
  </definedNames>
  <calcPr fullCalcOnLoad="1"/>
</workbook>
</file>

<file path=xl/sharedStrings.xml><?xml version="1.0" encoding="utf-8"?>
<sst xmlns="http://schemas.openxmlformats.org/spreadsheetml/2006/main" count="589" uniqueCount="488">
  <si>
    <t>Opis dochodów   w  zł</t>
  </si>
  <si>
    <t>dochody stanowi opłata za świadectwa pochodz.zwierząt</t>
  </si>
  <si>
    <t>Dochody stanowi:</t>
  </si>
  <si>
    <t>w tym :</t>
  </si>
  <si>
    <t>OŚWIATA  I  WYCHOWANIE</t>
  </si>
  <si>
    <t>z tego:</t>
  </si>
  <si>
    <t xml:space="preserve">     siłowni i innych </t>
  </si>
  <si>
    <t xml:space="preserve">     z czego przpada na:</t>
  </si>
  <si>
    <t xml:space="preserve">     szkoła podstawowa nr 1 </t>
  </si>
  <si>
    <t xml:space="preserve">     szkoła podstawowa nr 2</t>
  </si>
  <si>
    <t xml:space="preserve">     gimnazjum</t>
  </si>
  <si>
    <t xml:space="preserve">   z czego przypada na:</t>
  </si>
  <si>
    <t xml:space="preserve">   szkoła podstawowa nr 1</t>
  </si>
  <si>
    <t>OPIEKA  SPOŁECZNA</t>
  </si>
  <si>
    <t>w tym:</t>
  </si>
  <si>
    <t>DOCHODY  OD  OSÓB  PRAWNYCH, OSÓB FIZYCZNYCH</t>
  </si>
  <si>
    <t>3.podatek rolny od osób prawnych</t>
  </si>
  <si>
    <t>1.dotacja na zad.zlecone z przeznaczeniem na finansow.</t>
  </si>
  <si>
    <t xml:space="preserve">  zadań z zakresu spraw obywatelskich/ewid.ludn. i USC/ </t>
  </si>
  <si>
    <t>RÓŻNE  ROZLICZENIA</t>
  </si>
  <si>
    <t xml:space="preserve"> D O C H O D Y     O G Ó Ł E M</t>
  </si>
  <si>
    <t>Opis wydatków  w zł</t>
  </si>
  <si>
    <t>GOSPODARKA  MIESZKANIOWA...</t>
  </si>
  <si>
    <t>1.utrzymanie szkoły podstawowej nr 1</t>
  </si>
  <si>
    <t xml:space="preserve">   w tym:</t>
  </si>
  <si>
    <t xml:space="preserve">   a/szkoła nr 1</t>
  </si>
  <si>
    <t xml:space="preserve">   b/szkoła nr 2</t>
  </si>
  <si>
    <t>OCHRONA  ZDROWIA</t>
  </si>
  <si>
    <t>KULTURA  FIZYCZNA  I  SPORT</t>
  </si>
  <si>
    <t xml:space="preserve">  Związek Miast i Gmin Morskich</t>
  </si>
  <si>
    <t xml:space="preserve">  Związek Miast Bałtyckich</t>
  </si>
  <si>
    <t>1.zadania  zlecone - sprawy obywatelskie</t>
  </si>
  <si>
    <t>Wydatki inwestycyjne i majątkowe - ogółem</t>
  </si>
  <si>
    <t xml:space="preserve">O G Ó Ł E M       W Y D A T K I </t>
  </si>
  <si>
    <t>Dział  010</t>
  </si>
  <si>
    <t>ROLNICTWO  I  ŁOWIECTWO</t>
  </si>
  <si>
    <t>Dział 630</t>
  </si>
  <si>
    <t>TURYSTYKA</t>
  </si>
  <si>
    <t>Dział 700</t>
  </si>
  <si>
    <t>GOSPODARKA  MIESZKANIOWA</t>
  </si>
  <si>
    <t xml:space="preserve">   nieruchomości</t>
  </si>
  <si>
    <t xml:space="preserve">   Państwa  lub jedn.samorządu teryt.oraz innych</t>
  </si>
  <si>
    <t xml:space="preserve">   umów o podobnym charakterze</t>
  </si>
  <si>
    <t xml:space="preserve">   przysług.osobom fizycznym w prawo wlasności</t>
  </si>
  <si>
    <t xml:space="preserve"> a/ sprzedaż gruntu:</t>
  </si>
  <si>
    <t xml:space="preserve"> b/lokali mieszkalnych</t>
  </si>
  <si>
    <t>Dział 750</t>
  </si>
  <si>
    <t>ADMINISTRACJA  PUBLICZNA</t>
  </si>
  <si>
    <t>2.opłata administracyjna</t>
  </si>
  <si>
    <t>3.wpływy z usług(cena za formularz SIWZ)</t>
  </si>
  <si>
    <t>4.wpływy z różnych dochodów</t>
  </si>
  <si>
    <t>Dział 751</t>
  </si>
  <si>
    <t>URZĘDY NACZELNYCH ORGANÓW WŁADZY PAŃSTWOWEJ...</t>
  </si>
  <si>
    <t>Dział 754</t>
  </si>
  <si>
    <t>BEZPIECZEŃSTWO PUBLICZNE I OCHRONA PRZECIWPOŻAROWA</t>
  </si>
  <si>
    <t>Dział 756</t>
  </si>
  <si>
    <t>I  OD INNYCH.....</t>
  </si>
  <si>
    <t>2.podatek od nieruchomości- osoby prawne</t>
  </si>
  <si>
    <t>4. podatek leśny od osób prawnych</t>
  </si>
  <si>
    <t>5. podatek od środków transportowych od os.prawnych</t>
  </si>
  <si>
    <t>1.podatek od działalności gospodarczej osób fizycznych</t>
  </si>
  <si>
    <t>Dział 758</t>
  </si>
  <si>
    <t>Dział 801</t>
  </si>
  <si>
    <t>Dział 853</t>
  </si>
  <si>
    <t>Dział 854</t>
  </si>
  <si>
    <t>EDUKACYJNA OPIEKA WYCHOWAWCZA</t>
  </si>
  <si>
    <t>Dział 900</t>
  </si>
  <si>
    <t>GOSPODARKA KOMUNALNA I OCHRONA</t>
  </si>
  <si>
    <t>ŚRODOWISKA</t>
  </si>
  <si>
    <t>1/ dotacja celowa przeznaczona na zakup energii elektrycznej</t>
  </si>
  <si>
    <t xml:space="preserve">    i konserwację punktów świetlnych przy drogach dla których</t>
  </si>
  <si>
    <t>Dział 600</t>
  </si>
  <si>
    <t>TRANSPORT I ŁĄCZNOŚĆ</t>
  </si>
  <si>
    <t>Wydatki bieżące ogółem</t>
  </si>
  <si>
    <t xml:space="preserve">TURYSTYKA  </t>
  </si>
  <si>
    <t xml:space="preserve">   ( wyceny nieruchomości,ogłoszenia o prztargach i inne)</t>
  </si>
  <si>
    <t>Dział 710</t>
  </si>
  <si>
    <t>DZIAŁALNOŚĆ  USŁUGOWA</t>
  </si>
  <si>
    <t>1.plan zagospodarowania przestrzennego</t>
  </si>
  <si>
    <t xml:space="preserve">   (podziały gruntu,wykazy zmian gruntowych, aktualizacja</t>
  </si>
  <si>
    <t xml:space="preserve">    mapy  i inne)</t>
  </si>
  <si>
    <t>ADMINISTRACJA   PUBLICZNA</t>
  </si>
  <si>
    <t>URZĘDY NACZELNYCH ORGANÓW WŁADZY PAŃSTWOWEJ....</t>
  </si>
  <si>
    <t>BEZPIECZEŃSTWO  PUBLICZNE  I OCHRONA PRZECIWPOŻAROWA</t>
  </si>
  <si>
    <t>2.dotacja dla Straży Granicznej</t>
  </si>
  <si>
    <t>1.dotacja dla Komendy Powiatowej Policji</t>
  </si>
  <si>
    <t>3.utrzymanie Ochotniczej Straży Pożarnej</t>
  </si>
  <si>
    <t>4.obrona cywilna</t>
  </si>
  <si>
    <t>5.utrzymanie Straży Miejskiej</t>
  </si>
  <si>
    <t>Dział 757</t>
  </si>
  <si>
    <t>OBSŁUGA DŁUGU PUBLICZNEGO</t>
  </si>
  <si>
    <t>2.odsetki od pożyczek i kredytów</t>
  </si>
  <si>
    <t>RÓŻNE ROZLICZENIA</t>
  </si>
  <si>
    <t xml:space="preserve">   a/ rezerwa ogólna</t>
  </si>
  <si>
    <t xml:space="preserve">   b/ rezerwa celowa dla sołectw</t>
  </si>
  <si>
    <t>Dział 851</t>
  </si>
  <si>
    <t>1.świadczenia społeczne -zadania zlecone</t>
  </si>
  <si>
    <t xml:space="preserve">2.świadczenia społeczne- zadania  własne </t>
  </si>
  <si>
    <t>3.dodatki mieszkaniowe</t>
  </si>
  <si>
    <t>5.utrzymanie Ośrodka Pomocy Społecznej</t>
  </si>
  <si>
    <t xml:space="preserve">6.utrzymanie opiekunek </t>
  </si>
  <si>
    <t>1.utrzymanie świetlic szkolnych ( szkoła nr 1 i gimnazjum)</t>
  </si>
  <si>
    <t>3.koszty obsługi usług noclegowych w szkołach</t>
  </si>
  <si>
    <t>GOSPODARKA  KOMUNALNA I OCHRONA ŚRODOWISKA</t>
  </si>
  <si>
    <t>KULTURA  I OCHRONA DZIEDZICTWA NARODOWEGO</t>
  </si>
  <si>
    <t>1.dotacja dla Międzynarodowego Domu Kultury</t>
  </si>
  <si>
    <t xml:space="preserve">2.dotacja dla  biblioteki </t>
  </si>
  <si>
    <t>Dział 926</t>
  </si>
  <si>
    <t>Dział 921</t>
  </si>
  <si>
    <t xml:space="preserve">P r z y c h o d y   ogółem wynoszą </t>
  </si>
  <si>
    <t>W y d a t k i   ogółem wynoszą</t>
  </si>
  <si>
    <t>w tym m.in.:</t>
  </si>
  <si>
    <t>Zakład Wodociągów i Kanalizacji w Międzyzdrojach</t>
  </si>
  <si>
    <t>1 /wpływy z tyt.dostawy wody pitnej</t>
  </si>
  <si>
    <t>2/ wpływy z tyt.oczyszczania i odprowadzania ścieków</t>
  </si>
  <si>
    <t>3/ wpływy z tyt.pozostałej sprzedaży (sprzedaż usług</t>
  </si>
  <si>
    <t xml:space="preserve">   transportowych,remontowych,konserwacyjnych oraz</t>
  </si>
  <si>
    <t>2/ wydatki na zakup materiałów, a w szczególności</t>
  </si>
  <si>
    <t xml:space="preserve">   części zamiennych,materiałów konserwacyjnych </t>
  </si>
  <si>
    <t xml:space="preserve">   paliwa do samochodów,odzieży roboczej i ochronnej,</t>
  </si>
  <si>
    <t xml:space="preserve">   środków czystości,materiałów biurowych itp..</t>
  </si>
  <si>
    <t>6/ podatki i opłaty na rzecz budżetu :</t>
  </si>
  <si>
    <t xml:space="preserve">    -podatek od nieruchomości</t>
  </si>
  <si>
    <t xml:space="preserve">    -opłaty za szczególne korzystanie</t>
  </si>
  <si>
    <t xml:space="preserve">     z wód  i środowiska</t>
  </si>
  <si>
    <t>Zakład Ochrony Środowiska w Międzyzdrojach</t>
  </si>
  <si>
    <t>1/ sprzedaż usług: oczyszczanie miasta,wywóz</t>
  </si>
  <si>
    <t xml:space="preserve">    nieczystości ,utrzymanie zieleni miejskiej ,cmentarzy</t>
  </si>
  <si>
    <t xml:space="preserve">    wysypiska , itp.</t>
  </si>
  <si>
    <t>2/ zakup materiałów,paliwa,części zamiennych,</t>
  </si>
  <si>
    <t xml:space="preserve">    pojemników itp..</t>
  </si>
  <si>
    <t>4/ zakup usług: dezynsekcja,deratyzacja,rekultywcja</t>
  </si>
  <si>
    <t xml:space="preserve">   wysypiska,ścieki itp..</t>
  </si>
  <si>
    <t>Gminny Fundusz Ochrony Środowiska i Gospodarki Wodnej</t>
  </si>
  <si>
    <t>Dział O10</t>
  </si>
  <si>
    <t>wydatki</t>
  </si>
  <si>
    <t>realiz.</t>
  </si>
  <si>
    <t>plan</t>
  </si>
  <si>
    <t>wykonanie</t>
  </si>
  <si>
    <t>Strukt.</t>
  </si>
  <si>
    <t xml:space="preserve">    z tego:</t>
  </si>
  <si>
    <t xml:space="preserve">    b/ spłata udzielonej pożyczki przez ZOŚ</t>
  </si>
  <si>
    <t xml:space="preserve">    c/ wolne środki na rachunku Gminy</t>
  </si>
  <si>
    <t xml:space="preserve">    d/ kredyt w rachunku bieżącym</t>
  </si>
  <si>
    <t>1/ Przychody</t>
  </si>
  <si>
    <t>razem</t>
  </si>
  <si>
    <t>2/ Rozchody</t>
  </si>
  <si>
    <t xml:space="preserve">3/ Przychody minus rozchody wynoszą </t>
  </si>
  <si>
    <t>6.wpływy ze sprzedaży mienia komunalnego:</t>
  </si>
  <si>
    <t>7.odsetki od nieterminowej płatności zobowiązań</t>
  </si>
  <si>
    <t>DZIAŁALNOŚĆ USŁUGOWA</t>
  </si>
  <si>
    <t>6. podatek od czynności cywilnoprawnych-osoby prawne</t>
  </si>
  <si>
    <t>7.wpływy z różnych opłat (prolongacyjna)</t>
  </si>
  <si>
    <t>8.odsetki od nieterminowych wpłat z tyt.podat. i opłat-os.prawne</t>
  </si>
  <si>
    <t>9.podatek od nieruchomości -osoby fizyczne</t>
  </si>
  <si>
    <t>10.podatek rolny od osób fizycznych</t>
  </si>
  <si>
    <t>11.podatek leśny od osób fizycznych</t>
  </si>
  <si>
    <t>12. podatek od środków transportowych od osób fizycznych</t>
  </si>
  <si>
    <t>13.podatek od spadków i darowizn</t>
  </si>
  <si>
    <t>14.podatek od posiadania psów</t>
  </si>
  <si>
    <t>15.wpływy z opłaty targowej</t>
  </si>
  <si>
    <t>16. podatek od czynności cywilnoprawnych-osoby fizyczne</t>
  </si>
  <si>
    <t>17.zaległości z pod.zniesionych(pod.od śr.transp.)</t>
  </si>
  <si>
    <t>19.odsetki od nieterminowych wpłat z tyt.podat. i opłat-os.fizyczne</t>
  </si>
  <si>
    <t>w tym</t>
  </si>
  <si>
    <t xml:space="preserve">   a/subwencja na zadania oświatowe</t>
  </si>
  <si>
    <t xml:space="preserve">   b/subwencja podstawowa</t>
  </si>
  <si>
    <t xml:space="preserve">   c/subwencja rekompensująca podatek</t>
  </si>
  <si>
    <t xml:space="preserve">      od środków transportowych</t>
  </si>
  <si>
    <t xml:space="preserve">   d/subwencja rekompensująca ulgi w podatku</t>
  </si>
  <si>
    <t xml:space="preserve">      leśnym i od nieruchomości</t>
  </si>
  <si>
    <t xml:space="preserve">   e/ różne rozliczenia finansowe wynikające ze sprawozdań</t>
  </si>
  <si>
    <t xml:space="preserve">     urzędów skarbowych</t>
  </si>
  <si>
    <t>2/ dzierżawy sal lekcyjnych,gimnastycznych</t>
  </si>
  <si>
    <t xml:space="preserve">   gimnazjum</t>
  </si>
  <si>
    <t>3/wpływy z usług (odpłatność za wyżywienie)</t>
  </si>
  <si>
    <t xml:space="preserve">    emerytów i rencistów</t>
  </si>
  <si>
    <t>1.wpływy z różnych dochodów</t>
  </si>
  <si>
    <t xml:space="preserve">Dochody ogółem </t>
  </si>
  <si>
    <t>Dochody ogółem</t>
  </si>
  <si>
    <t xml:space="preserve">   z uchwały RM,wynajem sal i inne)</t>
  </si>
  <si>
    <t xml:space="preserve">   c/gimnazjum</t>
  </si>
  <si>
    <t>2.wpływy z udostępnienia placówek oświatowych na kolonie</t>
  </si>
  <si>
    <t xml:space="preserve">    gmina nie jest zarządcą</t>
  </si>
  <si>
    <t>wpłata Gminy na rzecz Izb Rolniczych</t>
  </si>
  <si>
    <t>1.utrzymanie dróg publicznych powiatowych</t>
  </si>
  <si>
    <t>2.utrzymanie dróg publicznych gminnych</t>
  </si>
  <si>
    <t xml:space="preserve">  Stowarzyszenie Gmin Polskich Euroregionu POMERANIA</t>
  </si>
  <si>
    <t xml:space="preserve">1.prowizja z tytułu gwarancji bankowej i kredytów </t>
  </si>
  <si>
    <t xml:space="preserve">   w tym m.in..:</t>
  </si>
  <si>
    <t xml:space="preserve">   a/wynagrodzenia i składki ZUS nauczycieli</t>
  </si>
  <si>
    <t xml:space="preserve">   b/wynagrodzenia i składki ZUS pracowników</t>
  </si>
  <si>
    <t xml:space="preserve">   c/wynagrodzenia i składki ZUS pracowników</t>
  </si>
  <si>
    <t xml:space="preserve">   d/zapomogi dla nauczycieli</t>
  </si>
  <si>
    <t xml:space="preserve">   g/wydatki rzeczowe</t>
  </si>
  <si>
    <t>realizacja</t>
  </si>
  <si>
    <t xml:space="preserve">      z tego m.inn.:</t>
  </si>
  <si>
    <t xml:space="preserve">      1/zakup opału</t>
  </si>
  <si>
    <t xml:space="preserve">      2/materiały do remontu i konserwcji</t>
  </si>
  <si>
    <t xml:space="preserve">      6/zakup środków żywności</t>
  </si>
  <si>
    <t xml:space="preserve">      3/energia</t>
  </si>
  <si>
    <t xml:space="preserve">      4/ woda</t>
  </si>
  <si>
    <t xml:space="preserve">      5/naprawy i konserwacje</t>
  </si>
  <si>
    <t xml:space="preserve">      7/materiały biurowe,wydawnictwa i druki</t>
  </si>
  <si>
    <t xml:space="preserve">      11/opłaty za telefony</t>
  </si>
  <si>
    <t xml:space="preserve">    h/odpisy na zakładowy fundusz świadczeń </t>
  </si>
  <si>
    <t xml:space="preserve">       socjalnych</t>
  </si>
  <si>
    <t>2.utrzymanie szkoły podstawowej nr 2</t>
  </si>
  <si>
    <t xml:space="preserve">   d/dodatek wiejski i dod.mieszkaniowe</t>
  </si>
  <si>
    <t xml:space="preserve">      3/energia,gaz i paliwo</t>
  </si>
  <si>
    <t xml:space="preserve">      8/wyposażenie pomieszczeń</t>
  </si>
  <si>
    <t xml:space="preserve">      9/zawody i imprezy dla dzieci</t>
  </si>
  <si>
    <t xml:space="preserve">     10/wiosenny bieg przełajowy</t>
  </si>
  <si>
    <t xml:space="preserve">      12/umowy-zlecenia</t>
  </si>
  <si>
    <t xml:space="preserve">3/przedszkole przy szkole podstawowej(płace i narzuty) </t>
  </si>
  <si>
    <t>4/ utrzymanie gimnazjum</t>
  </si>
  <si>
    <t xml:space="preserve">      5/gaz opałowy</t>
  </si>
  <si>
    <t xml:space="preserve">      7/naprawy i konserwacje,nadzór kotłowni</t>
  </si>
  <si>
    <t xml:space="preserve">      8/zakup środków żywności</t>
  </si>
  <si>
    <t>5/ dowożenie uczniów do szkół</t>
  </si>
  <si>
    <t xml:space="preserve">    dla nauczycieli emerytów i rencistów</t>
  </si>
  <si>
    <t>4.zasiłki rodzinne, pielęgnacyjne i wychowawcze</t>
  </si>
  <si>
    <t>7.dożywianie uczniów w szkołach</t>
  </si>
  <si>
    <t xml:space="preserve">2.utrzymanie  przedszkola </t>
  </si>
  <si>
    <t>1/ wynagrodzenia i składki ZUS 30 pracowników</t>
  </si>
  <si>
    <t>K o s z t y   ogółem wynoszą</t>
  </si>
  <si>
    <t>P r z y c h o d y   ogółem wynoszą</t>
  </si>
  <si>
    <t>2/ odsetki</t>
  </si>
  <si>
    <t>K o s z t y    ogółem wynoszą</t>
  </si>
  <si>
    <t>1/ dotacja dla Powiatowej Stacji Sanitarno-Epidemiologicznej</t>
  </si>
  <si>
    <t xml:space="preserve">    w Kamieniu Pomorskim</t>
  </si>
  <si>
    <t>Opis realizacji planów finansowych środka specjalnego,zakładów budżetowych</t>
  </si>
  <si>
    <t>i funduszu celowego.</t>
  </si>
  <si>
    <t>ŚRODEK SPECJALNY NA BUDOWĘ I UTRZYMANIE DRÓG</t>
  </si>
  <si>
    <t>1/ opłaty za zajęcie pasa drogowego</t>
  </si>
  <si>
    <t>2/ odsetki bankowe</t>
  </si>
  <si>
    <t xml:space="preserve">    a/ kredyty bankowe i pożyczki</t>
  </si>
  <si>
    <t>Dochody  stanowi opłata miejscowa i odsetki</t>
  </si>
  <si>
    <t xml:space="preserve">   opłacany w formie karty podatkowej i odsetki</t>
  </si>
  <si>
    <t>18.wpływy z różnych opłat (prolongacyjna i zwrot za upomnienia)</t>
  </si>
  <si>
    <t xml:space="preserve">   szkoła podstawowa nr 2</t>
  </si>
  <si>
    <t>4/ odsetki od środków na rachunkach bankowych</t>
  </si>
  <si>
    <t>5/ dotacja z przeznaczeniem na ZFŚS nauczycieli</t>
  </si>
  <si>
    <t>1/ wpływy z różnych opłat i innych dochodów</t>
  </si>
  <si>
    <t>3/ dotacja z przeznaczeniem na ZFŚS nauczycieli</t>
  </si>
  <si>
    <t xml:space="preserve">      obsługi i administracji (14 etatów)</t>
  </si>
  <si>
    <t xml:space="preserve">      kuchni (3 etaty)</t>
  </si>
  <si>
    <t xml:space="preserve">    (awans zawodowy nauczycieli)</t>
  </si>
  <si>
    <t>3.dotacja na Festiwal Pieśni Chóralnej</t>
  </si>
  <si>
    <t>4.dotacja na Wakacyjny Festiwal Gwiazd</t>
  </si>
  <si>
    <t>3/ zakup energii i wody</t>
  </si>
  <si>
    <t>4/ zakup usług remontowych (usługi naprawcze</t>
  </si>
  <si>
    <t xml:space="preserve">    i konserwacyjne środków transportu,maszyn,urzadzeń</t>
  </si>
  <si>
    <t>5/ zakup usług pozostałych ( transportowe,komputerowe</t>
  </si>
  <si>
    <t xml:space="preserve">    a także kominiarskie,prawnicze, wywóz nieczystości</t>
  </si>
  <si>
    <t xml:space="preserve">    opłaty pocztowe,bankowe i telefoniczne,badania</t>
  </si>
  <si>
    <t xml:space="preserve">    wody i ścieków ,itp..)</t>
  </si>
  <si>
    <t xml:space="preserve">    sprzętu itp..)</t>
  </si>
  <si>
    <t>nadwyżka  budżetu wynosi</t>
  </si>
  <si>
    <t>Przeznaczenie nadwyżki budżetu prezentuje poniższe wyliczenie:</t>
  </si>
  <si>
    <t xml:space="preserve">    a/ spłaty kredytów i pożyczek</t>
  </si>
  <si>
    <t xml:space="preserve">    b/ pożyczka dla ZOŚ</t>
  </si>
  <si>
    <t xml:space="preserve">   na dofinansowanie utrzymania dróg powiatowych</t>
  </si>
  <si>
    <t>1.Dochody stanowi dotacja celowa otrzymana ze Starostwa</t>
  </si>
  <si>
    <t>1.wpływy z opłat za zarząd, użytkowanie i użytk.wieczyste</t>
  </si>
  <si>
    <t>2.dochody z najmu i dzierżawy skł.majątkowych Skarbu</t>
  </si>
  <si>
    <t>3.wpływy z tyt.przekształcenia prawa użytk. wieczyst.</t>
  </si>
  <si>
    <t xml:space="preserve">4.wpłaty z tyt.odpłatnego nabycia prawa własności </t>
  </si>
  <si>
    <t>5.wpływy z usług-wynajem lokali użytkowych</t>
  </si>
  <si>
    <t>c/ lokali użytkowych</t>
  </si>
  <si>
    <t xml:space="preserve">d/budynków </t>
  </si>
  <si>
    <t>9. wpływy z MTBS  tytułem zwrotu nakładów poniesionych przez</t>
  </si>
  <si>
    <t>1. Dochody stanowią wpływy z opłaty cmentarnej</t>
  </si>
  <si>
    <t>7.odsetki od nieterminowych wpłat opłat</t>
  </si>
  <si>
    <t>8.odsetki od środków na rachunkach bankowych</t>
  </si>
  <si>
    <t>20.wpływy z opłaty skarbowej i odsetek</t>
  </si>
  <si>
    <t>2.dotacja na składki na ubezpieczenia zdrowotne</t>
  </si>
  <si>
    <t xml:space="preserve">3.dotacja na zasiłki i pomoc w naturze oraz na składki </t>
  </si>
  <si>
    <t xml:space="preserve">   na ubezpieczenia społeczne</t>
  </si>
  <si>
    <t>4.dotacja na dodatki mieszkaniowe</t>
  </si>
  <si>
    <t>5.dotacja na zasiłki rodzinne i pielęgnacyjne</t>
  </si>
  <si>
    <t>6.dotacja na utrzymanie  Ośrodka Pomocy Społecznej</t>
  </si>
  <si>
    <t>7.wpływy z usług opiekuńczych</t>
  </si>
  <si>
    <t>8.dotacja na dożywianie uczniów w szkołach</t>
  </si>
  <si>
    <t>2.opracowanie dokumentacji na budowę sieci wodociągowej</t>
  </si>
  <si>
    <t>1.komputery i oprogramowanie</t>
  </si>
  <si>
    <t>3.modernizacja budynku gimnazjum,dach i inne</t>
  </si>
  <si>
    <t>1.modernizacja  budynku WIKLINY i inne zadania</t>
  </si>
  <si>
    <t>modernizacja stadionu miejskiego</t>
  </si>
  <si>
    <t>utrzymanie kąpieliska strzeżonego</t>
  </si>
  <si>
    <t>2.dotacja dla MTBS</t>
  </si>
  <si>
    <t xml:space="preserve">   ubezpieczenie,koszty eksploat.lokali mieszk.nie zagospod.i inne)</t>
  </si>
  <si>
    <t>3.utrzymanie nieruchomości gminnych (dozór"Złotego Dworu",</t>
  </si>
  <si>
    <t xml:space="preserve">      7/materiały biurowe,wydawnictwa,druki i inne</t>
  </si>
  <si>
    <t xml:space="preserve">      9/pomoce naukowe</t>
  </si>
  <si>
    <t xml:space="preserve">     12/opłaty za telefony</t>
  </si>
  <si>
    <t xml:space="preserve">     13/nauka języka angielskiego</t>
  </si>
  <si>
    <t xml:space="preserve">      13/nauka języka angielskiego</t>
  </si>
  <si>
    <t xml:space="preserve">      obsługi i administracji (11 et.)</t>
  </si>
  <si>
    <t xml:space="preserve">   f/wydatki rzeczowe</t>
  </si>
  <si>
    <t xml:space="preserve">     11/imprezy dla uczniów i zawody sportowe</t>
  </si>
  <si>
    <t xml:space="preserve">     12/monitoring pracowni internetowej</t>
  </si>
  <si>
    <t xml:space="preserve">     13/opłaty za telefony</t>
  </si>
  <si>
    <t>6/ dokształcanie i doskonalenie nauczycieli</t>
  </si>
  <si>
    <t>8/wynagrodzenie ekspertów komisji egzaminacyjnej nauczycieli</t>
  </si>
  <si>
    <t>Realizacja programu Gminnej Komisji Rozwiązywania</t>
  </si>
  <si>
    <t>Problemów Alkoholowych</t>
  </si>
  <si>
    <t>3/ wpływy za parkomaty</t>
  </si>
  <si>
    <t>2/ dotacja dla Ligi Ochrony Przyrody w Szczecinie</t>
  </si>
  <si>
    <t xml:space="preserve">4/ zakup książek o treści dydaktycznej związanej z ochroną </t>
  </si>
  <si>
    <t xml:space="preserve">    środowiska</t>
  </si>
  <si>
    <t xml:space="preserve">   wykonywanie przyłączy wodociągowych i inne)</t>
  </si>
  <si>
    <t>Podatek dochodowy od osób prawnych</t>
  </si>
  <si>
    <t>1.gospodarka gruntami i nieruchomościami</t>
  </si>
  <si>
    <t xml:space="preserve">   Gminę na przedsięwzięcie termomodernizacyjne wraz z odsetkami</t>
  </si>
  <si>
    <t>1. Dotacja na prowadzenie i aktualizację rejestu wyborców</t>
  </si>
  <si>
    <t xml:space="preserve">2. Dotacja na wybory do rad gmin </t>
  </si>
  <si>
    <t>7/ dotacja na wyprawkę dla klas I</t>
  </si>
  <si>
    <t>9.dotacja na wyprawkę dla klas I</t>
  </si>
  <si>
    <t>EKUKACYJNA OPIEKA WYCHOWAWCZA</t>
  </si>
  <si>
    <t xml:space="preserve">GOSPODARKA  KOMUNALNA  I  OCHRONA </t>
  </si>
  <si>
    <t>1.aktualizacja rejestru wyborców</t>
  </si>
  <si>
    <t>2.wybory do rad gmin</t>
  </si>
  <si>
    <t xml:space="preserve">      (33 etaty)</t>
  </si>
  <si>
    <t xml:space="preserve">      kuchni ( 3etaty)</t>
  </si>
  <si>
    <t xml:space="preserve">   e/odpisy na zakł.fundusz świadczeń socjal.</t>
  </si>
  <si>
    <t xml:space="preserve">     11/monitoring,usł.komputerowe i program</t>
  </si>
  <si>
    <t xml:space="preserve">     14/dopajanie dzieci</t>
  </si>
  <si>
    <t xml:space="preserve">     15/prowizje bankowe</t>
  </si>
  <si>
    <t xml:space="preserve">   e/ zasiłki na zagospodarowanie nauczycieli</t>
  </si>
  <si>
    <t xml:space="preserve">      6/gaz i energia do kuchni oraz paliwo do kosiarki</t>
  </si>
  <si>
    <t xml:space="preserve">      9/materiały biurowe,wydawnictwa,druki i inne</t>
  </si>
  <si>
    <t xml:space="preserve">     14/pomoce dydaktyczne</t>
  </si>
  <si>
    <t>7/nagrody dla  uczniów</t>
  </si>
  <si>
    <t xml:space="preserve">      obsługi i administracji (4,75 etatu)</t>
  </si>
  <si>
    <t xml:space="preserve">      kuchni (2,25 et.)</t>
  </si>
  <si>
    <t>8.wyprawka szkolna dla klas I</t>
  </si>
  <si>
    <t>3/ zakup energii elektrycznej i gazu</t>
  </si>
  <si>
    <t xml:space="preserve">    -odsetki z tyt.nieterminowej płatności podatków i składek ZUS</t>
  </si>
  <si>
    <t>w tym m.in..:</t>
  </si>
  <si>
    <t>6/ podatek od nieruchomości</t>
  </si>
  <si>
    <t>7/ podatek VAT</t>
  </si>
  <si>
    <t>8/ opłaty za składowanie odpadów</t>
  </si>
  <si>
    <t>9/ zakup komputera</t>
  </si>
  <si>
    <t>11/ fundusz eksploatacyjno-remontowy -molo</t>
  </si>
  <si>
    <t>12/ odpis na ZFŚS</t>
  </si>
  <si>
    <t>Załącznik Nr  7 do Zarządzenia</t>
  </si>
  <si>
    <t>Omówienie przebiegu wykonania budżetu Gminy za I półrocze  2003r. ( w złotych )</t>
  </si>
  <si>
    <t xml:space="preserve">Dochody Gminy za I półrocze 2003r. wyniosły </t>
  </si>
  <si>
    <t>( 41,79 % kwoty założonej w planie wg uchwał Rady Miejskiej),</t>
  </si>
  <si>
    <t>( 29,83 % kwoty założonej w planie wg uchwał Rady Miejskiej),</t>
  </si>
  <si>
    <t xml:space="preserve">   2/ dz.nr 107/7,107/10 o pow.1443 m2 ul.Geodezyjna Lubin</t>
  </si>
  <si>
    <t xml:space="preserve">   3/ dz.nr 292/7,294,292/9 o pow.26,57 m2 ul.Zwycięstwa 17/1</t>
  </si>
  <si>
    <t xml:space="preserve">   1/ dz.nr 292/7,294,292/9 o pow.22 m2 ul.Zwycięstwa 17a/1</t>
  </si>
  <si>
    <t xml:space="preserve">   4/ dz nr 270 o pow.45 m2 ul.Dąbrowskiej 8</t>
  </si>
  <si>
    <t xml:space="preserve">   5/ dz.nr 154/7,155/3,155/4,155/5,155/7 o łącznej pow.4694 m2</t>
  </si>
  <si>
    <t xml:space="preserve">       położone w Wapnicy</t>
  </si>
  <si>
    <t xml:space="preserve">   6/ dz.nr 107/3,107/8 o łącznej pow.1428 m2 ul.Geodezyjna 9 Lubin</t>
  </si>
  <si>
    <t>8.różne dochody (zwrot kosztów związanych ze sprzedażą</t>
  </si>
  <si>
    <t xml:space="preserve">   nieruchomości )</t>
  </si>
  <si>
    <t xml:space="preserve">   </t>
  </si>
  <si>
    <t>2. Wpływy z różnych dochodów (kary umowne i zwrot kosztów</t>
  </si>
  <si>
    <t xml:space="preserve">   za podział działki)</t>
  </si>
  <si>
    <t>5.opłata za zezwolenie na przejazdy taxi</t>
  </si>
  <si>
    <t xml:space="preserve">  roboty publiczne, dotyczy grudnia 2002 r.</t>
  </si>
  <si>
    <t>6.wpływy ze sprzedaży ciepła dla BGŻ</t>
  </si>
  <si>
    <t xml:space="preserve">9.refundacja wydatków poniesionych na wynagr.i składki- </t>
  </si>
  <si>
    <t>3.dotacja na referendum ogólnokrajowe</t>
  </si>
  <si>
    <t xml:space="preserve"> Wpływy z mandatów</t>
  </si>
  <si>
    <t>21.wpływy z opłat za zezwolenia na sprzedaż alkoholu</t>
  </si>
  <si>
    <t>22.udziały gminy w podatku dochodowym od osób fizycznych</t>
  </si>
  <si>
    <t>23.udziały gminy w podatku dochodowym od osób prawnych</t>
  </si>
  <si>
    <t>6/ dotacja z przeznaczeniem na sfinansowanie prac</t>
  </si>
  <si>
    <t xml:space="preserve">    komisji kwalifikacyjnych-awans zawodowy nauczycieli</t>
  </si>
  <si>
    <t xml:space="preserve">1.przedszkole ( odpłatność za wyżywienie,opłata wynikająca </t>
  </si>
  <si>
    <t xml:space="preserve">2.opracowania geodezyjne i kartograficzne </t>
  </si>
  <si>
    <t>3.utrzymanie cmentarzy</t>
  </si>
  <si>
    <t>2.utrzymanie Rady Miejskiej</t>
  </si>
  <si>
    <t>4.komisje poborowe</t>
  </si>
  <si>
    <t>3.utrzymanie  Urzędu Miejskiego</t>
  </si>
  <si>
    <t>5.dotacja na utrzymanie Związku Gmin Wyspy Wolin</t>
  </si>
  <si>
    <t>6.wynagrodzenia z tyt.inkasa podatków i opłat lokalnych</t>
  </si>
  <si>
    <t>7.składki na rzecz związków celowych, w tym:</t>
  </si>
  <si>
    <t>8.utrzymanie kotłowni w budynku Urzędu Miejskiego</t>
  </si>
  <si>
    <t>9.wynagrodzenia i narzuty pracowników zatrudnionych w ramach</t>
  </si>
  <si>
    <t xml:space="preserve">   robót publicznych</t>
  </si>
  <si>
    <t>3.referendum ogólnokrajowe</t>
  </si>
  <si>
    <t xml:space="preserve">      8/zakup wyposażenia </t>
  </si>
  <si>
    <t xml:space="preserve">     10/przejazdy dzieci na SKS i UKS Chrobry</t>
  </si>
  <si>
    <t xml:space="preserve">      ( 9,28 etatu)</t>
  </si>
  <si>
    <t xml:space="preserve">      (28,39 et.)</t>
  </si>
  <si>
    <t xml:space="preserve">      10/zakup sprzętu schroniskowego</t>
  </si>
  <si>
    <t>9/ odpisy na zakładowy fundusz świadczeń socjalnych</t>
  </si>
  <si>
    <t>10/ nagrody dla dyrektorów placówek oświatowych</t>
  </si>
  <si>
    <t>11/ zakup pomocy dydaktycznych-udział własny gminy</t>
  </si>
  <si>
    <t xml:space="preserve">     w realizacji zadań szkoleniowo-dydaktycznych</t>
  </si>
  <si>
    <t xml:space="preserve">     dofinansowanych ze środków Kredytu Banku Światowego</t>
  </si>
  <si>
    <t xml:space="preserve">     Programu Aktywizacji Obszarów Wiejskich</t>
  </si>
  <si>
    <t>4.dokształcanie i doskonalenie nauczycieli</t>
  </si>
  <si>
    <t>5. odpisy na zakładowy fundusz świadczeń socjalnych</t>
  </si>
  <si>
    <t xml:space="preserve">1.utrzymanie czystości  </t>
  </si>
  <si>
    <t xml:space="preserve">2.utrzymanie zieleni </t>
  </si>
  <si>
    <t>3.zakup opraw oświetleniowych i innych materiałów</t>
  </si>
  <si>
    <t>4.oświetlenie ulic (energia)</t>
  </si>
  <si>
    <t xml:space="preserve">5.konserwacja oświetlenia </t>
  </si>
  <si>
    <t>6.iluminacja świąteczna i inne prace</t>
  </si>
  <si>
    <t>7.wykonanie audytu energetycznego</t>
  </si>
  <si>
    <t>8.dotacja przedmiotowa dla Zakładu Ochrony Środowiska na zakup koszy</t>
  </si>
  <si>
    <t>9.opieka nad bezdomnymi psami</t>
  </si>
  <si>
    <t>10.koszty związane z utrzymaniem przepompowni melioracyjnej</t>
  </si>
  <si>
    <t xml:space="preserve">    oraz sieci deszczowej na terenie miasta i gminy</t>
  </si>
  <si>
    <t xml:space="preserve">5. wykonanie tablicy pamiątkowej im.prof..Jana Szyrockiego </t>
  </si>
  <si>
    <t xml:space="preserve">   sala teatralna MDK</t>
  </si>
  <si>
    <t xml:space="preserve">  odbywających się w rundzie wiosennej od marca do czerwca</t>
  </si>
  <si>
    <t xml:space="preserve">  2003 r-Klub Sportowy "Fala"</t>
  </si>
  <si>
    <t>1.dotacja-dofinansowanie organizacji imprez sportowo-rekreacyjnych</t>
  </si>
  <si>
    <t xml:space="preserve">   pt.IX Międzynarodowy Bieg o Bursztynowy Puchar Miasta</t>
  </si>
  <si>
    <t xml:space="preserve">   Międzyzdroje w dniu 21 czerwca 2003</t>
  </si>
  <si>
    <t>3.dotacja-dofinansowanie imprezy rekreacyjno-sportowej</t>
  </si>
  <si>
    <t>2.dotacja-dofinansowanie organizacji imprezy sportowo-rekreacyjnej</t>
  </si>
  <si>
    <t xml:space="preserve">  pt.:Mistrzostwa  Polski w Biegach na Przełaj Juniorów i Seniorów</t>
  </si>
  <si>
    <t xml:space="preserve">  oraz "IX Ogólnopolską Olimpidę Młodzieży w Biegach na Przełaj</t>
  </si>
  <si>
    <t xml:space="preserve">  organizowanych w dniu 22 marca 2003 r.</t>
  </si>
  <si>
    <t>4.inne imprezy sportowo-rekreacyjne</t>
  </si>
  <si>
    <t>1.sieć wodociągowa w sołectwach-ul.Turkusowa</t>
  </si>
  <si>
    <t xml:space="preserve">   Wicko-Zalesie </t>
  </si>
  <si>
    <t xml:space="preserve">   pn. "Modernizacja drogi powiatowej nr 41-101Zalesie-Wapnica-</t>
  </si>
  <si>
    <t xml:space="preserve"> </t>
  </si>
  <si>
    <t xml:space="preserve">   Lubin" o długości 650 m-50% udział gminy</t>
  </si>
  <si>
    <t xml:space="preserve">1.dotacja dla powiatu z przeznaczeniem na zadanie inwestycyne </t>
  </si>
  <si>
    <t>2.opracowanie dokumentacji na wykonanie ścieżki rowerowej</t>
  </si>
  <si>
    <t xml:space="preserve">   z Międzyzdrojów do Wapnicy</t>
  </si>
  <si>
    <t>3.budowa witacza</t>
  </si>
  <si>
    <t xml:space="preserve">1.wykonanie nawierzchni molo </t>
  </si>
  <si>
    <t xml:space="preserve">2.prace związane z przygotowaniem zadania inwestycyjnego </t>
  </si>
  <si>
    <t xml:space="preserve">  pn."Baseny"</t>
  </si>
  <si>
    <t>1.budowa mieszkań socjalnych</t>
  </si>
  <si>
    <t>2.przygotowanie specyfikacji przetargowej na realizację inwestycji</t>
  </si>
  <si>
    <t xml:space="preserve">  zabudowy ul.Norwida</t>
  </si>
  <si>
    <t>3.budowa sieci energetycznej n.n.-Ustronie Leśne</t>
  </si>
  <si>
    <t>4.wydatki inwestycyjne związane z gospodarką nieruchomościami</t>
  </si>
  <si>
    <t xml:space="preserve">  ( zamiana nieruchomości, wykup itp.)</t>
  </si>
  <si>
    <t>1.zakup kserokopiarki i komputera( szkoła nr1)</t>
  </si>
  <si>
    <t xml:space="preserve">2.zakup zestawu komputerowego i wyłożenie placu przed </t>
  </si>
  <si>
    <t xml:space="preserve">   szkołą ( szkoła nr 2)</t>
  </si>
  <si>
    <t>2.zakup i montaż sprzętu monitorującego</t>
  </si>
  <si>
    <t>3.zakup sprzętu informatycznego</t>
  </si>
  <si>
    <t>1.stacja uzdatniania wody</t>
  </si>
  <si>
    <t xml:space="preserve">  na dofinansowanie zakupu samochodu śmieciarki marki Mercedes</t>
  </si>
  <si>
    <t xml:space="preserve">  o skrzyni załadunku do 11m3</t>
  </si>
  <si>
    <t>2.budowa oświetlenia w ul.Piaskowej</t>
  </si>
  <si>
    <t>3.dotacja dla Zakładu Ochrony Środowiska z przeznaczeniem</t>
  </si>
  <si>
    <t>4.opracowanie dokumentacji wraz z realizacją na wykonanie</t>
  </si>
  <si>
    <t xml:space="preserve">   wymiany sieci wodociągowo-kanalizacyjnej w ul.Krótkiej,</t>
  </si>
  <si>
    <t xml:space="preserve">   Krasickiego,1000-lecia PP,Traugutta i Pomorskiej.</t>
  </si>
  <si>
    <t>5.budowa sieci kanalizacyjnej w ul.Wesołej</t>
  </si>
  <si>
    <t xml:space="preserve">1.wpłaty gmin do budżetu państwa </t>
  </si>
  <si>
    <t>2.rezerwy ogólne i celowe</t>
  </si>
  <si>
    <t>Stan środków obrotowych na początek 2003 r.</t>
  </si>
  <si>
    <t>1/remont chodnika przy ul.Leśnej i Myśliwskiej na wysokości</t>
  </si>
  <si>
    <t xml:space="preserve">   przedszkola</t>
  </si>
  <si>
    <t xml:space="preserve">2/ utrzymanie dróg w gminie </t>
  </si>
  <si>
    <t>3/ obsługa rachunku bankowego</t>
  </si>
  <si>
    <t xml:space="preserve">4/ budowa oświetlenia w ulicy Komunalnej,Nowomyśliwskiej </t>
  </si>
  <si>
    <t xml:space="preserve">    i Turkusowej wdłuż nieruchomości nr 1 oraz ul.Głównej,a także</t>
  </si>
  <si>
    <t xml:space="preserve">    jednego punktu świetlnego w Wicku przy przystanku</t>
  </si>
  <si>
    <t>5/ zakup i montaż dwóch przystanków autobusowych</t>
  </si>
  <si>
    <t>Stan środków obrotowych na 30.06.2003 r.</t>
  </si>
  <si>
    <t>1/ ustawowy odpis na rzecz GFOŚ i opłata produktowa</t>
  </si>
  <si>
    <t>3/ dotacja dla Fundacji na Rzecz Odzysku Opakowań Aluminiowych</t>
  </si>
  <si>
    <t xml:space="preserve">    Recal z siedzibą w Warszawie</t>
  </si>
  <si>
    <t>5/ opinie dotyczące drzewostanu</t>
  </si>
  <si>
    <t>6/ inne zadania służące ochronie środowiska</t>
  </si>
  <si>
    <t>7/ obsługa rachunku bankowego</t>
  </si>
  <si>
    <t>Stan środków obrotowych na 30.06.2003r. wyniósł</t>
  </si>
  <si>
    <t>Stan środków obrotowych na  30.06.2003 r. wyniósł</t>
  </si>
  <si>
    <t>6/ dotacja z budżetu Gminy ogółem</t>
  </si>
  <si>
    <t xml:space="preserve">    w tym:</t>
  </si>
  <si>
    <t xml:space="preserve">   b/ zakup koszy </t>
  </si>
  <si>
    <t xml:space="preserve">   a/ dofinansowanie zakupu samochodu śmieciarki </t>
  </si>
  <si>
    <t>1/ wynagrodzenia i składki ZUS 37 pracowników</t>
  </si>
  <si>
    <t xml:space="preserve">5/ umowy-zlecenia i o dzieło </t>
  </si>
  <si>
    <t>10/zakup pługa "Kacper"</t>
  </si>
  <si>
    <t>Stan środków obrotowych na 30.06.2003 r. wyniósł</t>
  </si>
  <si>
    <t>Nr 151/FIN/2003 Burmistrza Międzyzdrojów</t>
  </si>
  <si>
    <t>z dnia 4 sierpnia 2003r.</t>
  </si>
  <si>
    <t>Zakład Ochrony Środowiska za  I półrocze 2003r. nie wypracował nadwyżki środków obrotowych.</t>
  </si>
  <si>
    <t>Zakład Wodociągów i Kanalizacji za  I półrocze 2003r. nie wypracował nadwyżki środków obrotowych.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</si>
</sst>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b/>
      <sz val="9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10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10" fontId="9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10" fillId="0" borderId="0" xfId="0" applyFont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9" fontId="7" fillId="0" borderId="0" xfId="0" applyNumberFormat="1" applyFont="1" applyAlignment="1">
      <alignment/>
    </xf>
    <xf numFmtId="9" fontId="0" fillId="0" borderId="0" xfId="0" applyNumberFormat="1" applyFont="1" applyAlignment="1">
      <alignment horizontal="right"/>
    </xf>
    <xf numFmtId="9" fontId="9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9" fontId="0" fillId="0" borderId="0" xfId="0" applyNumberFormat="1" applyFont="1" applyAlignment="1">
      <alignment/>
    </xf>
    <xf numFmtId="9" fontId="0" fillId="0" borderId="0" xfId="0" applyNumberFormat="1" applyFont="1" applyAlignment="1">
      <alignment horizontal="centerContinuous"/>
    </xf>
    <xf numFmtId="9" fontId="2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9" fontId="0" fillId="0" borderId="0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2"/>
  <sheetViews>
    <sheetView showGridLines="0" tabSelected="1" workbookViewId="0" topLeftCell="A553">
      <selection activeCell="B655" sqref="B655"/>
    </sheetView>
  </sheetViews>
  <sheetFormatPr defaultColWidth="9.00390625" defaultRowHeight="12.75"/>
  <cols>
    <col min="1" max="1" width="9.625" style="0" customWidth="1"/>
    <col min="2" max="2" width="13.75390625" style="0" customWidth="1"/>
    <col min="3" max="3" width="14.125" style="0" customWidth="1"/>
    <col min="4" max="4" width="16.25390625" style="6" customWidth="1"/>
    <col min="5" max="5" width="11.00390625" style="0" customWidth="1"/>
    <col min="6" max="6" width="10.125" style="6" bestFit="1" customWidth="1"/>
    <col min="7" max="7" width="9.875" style="6" customWidth="1"/>
    <col min="8" max="8" width="7.75390625" style="48" customWidth="1"/>
    <col min="9" max="9" width="5.75390625" style="20" customWidth="1"/>
  </cols>
  <sheetData>
    <row r="1" spans="1:9" ht="15">
      <c r="A1" s="17"/>
      <c r="B1" s="18"/>
      <c r="C1" s="18"/>
      <c r="D1" s="19"/>
      <c r="E1" s="34" t="s">
        <v>346</v>
      </c>
      <c r="F1" s="19"/>
      <c r="G1" s="19"/>
      <c r="H1" s="49"/>
      <c r="I1" s="38"/>
    </row>
    <row r="2" spans="1:9" ht="15">
      <c r="A2" s="17"/>
      <c r="B2" s="18"/>
      <c r="C2" s="18"/>
      <c r="D2" s="19"/>
      <c r="E2" s="34" t="s">
        <v>484</v>
      </c>
      <c r="F2" s="19"/>
      <c r="G2" s="19"/>
      <c r="H2" s="49"/>
      <c r="I2" s="38"/>
    </row>
    <row r="3" spans="1:9" ht="15">
      <c r="A3" s="17"/>
      <c r="B3" s="18"/>
      <c r="C3" s="18"/>
      <c r="D3" s="19"/>
      <c r="E3" s="34" t="s">
        <v>485</v>
      </c>
      <c r="F3" s="19"/>
      <c r="G3" s="19"/>
      <c r="H3" s="49"/>
      <c r="I3" s="38"/>
    </row>
    <row r="4" spans="1:9" ht="15">
      <c r="A4" s="17"/>
      <c r="B4" s="18"/>
      <c r="C4" s="18"/>
      <c r="D4" s="19"/>
      <c r="E4" s="34"/>
      <c r="F4" s="19"/>
      <c r="G4" s="19"/>
      <c r="H4" s="49"/>
      <c r="I4" s="38"/>
    </row>
    <row r="5" spans="1:9" ht="15">
      <c r="A5" s="37" t="s">
        <v>347</v>
      </c>
      <c r="B5" s="18"/>
      <c r="C5" s="18"/>
      <c r="D5" s="19"/>
      <c r="E5" s="34"/>
      <c r="F5" s="19"/>
      <c r="G5" s="19"/>
      <c r="H5" s="49"/>
      <c r="I5" s="38"/>
    </row>
    <row r="6" ht="12.75">
      <c r="E6" s="6"/>
    </row>
    <row r="7" spans="1:8" s="35" customFormat="1" ht="15">
      <c r="A7" s="35" t="s">
        <v>348</v>
      </c>
      <c r="D7" s="36"/>
      <c r="E7" s="66">
        <v>7631697</v>
      </c>
      <c r="F7" s="36"/>
      <c r="G7" s="36"/>
      <c r="H7" s="42"/>
    </row>
    <row r="8" spans="1:5" ht="12.75">
      <c r="A8" t="s">
        <v>349</v>
      </c>
      <c r="E8" s="6"/>
    </row>
    <row r="9" spans="1:8" s="35" customFormat="1" ht="15">
      <c r="A9" s="35" t="s">
        <v>135</v>
      </c>
      <c r="D9" s="36"/>
      <c r="E9" s="66">
        <v>6476142</v>
      </c>
      <c r="F9" s="36"/>
      <c r="G9" s="36"/>
      <c r="H9" s="42"/>
    </row>
    <row r="10" spans="1:5" ht="12.75">
      <c r="A10" t="s">
        <v>350</v>
      </c>
      <c r="E10" s="6"/>
    </row>
    <row r="11" spans="1:8" s="35" customFormat="1" ht="15">
      <c r="A11" s="35" t="s">
        <v>258</v>
      </c>
      <c r="D11" s="36"/>
      <c r="E11" s="66">
        <f>E7-E9</f>
        <v>1155555</v>
      </c>
      <c r="F11" s="36"/>
      <c r="G11" s="36"/>
      <c r="H11" s="42"/>
    </row>
    <row r="12" spans="1:8" s="35" customFormat="1" ht="14.25">
      <c r="A12" s="35" t="s">
        <v>259</v>
      </c>
      <c r="D12" s="36"/>
      <c r="E12" s="36"/>
      <c r="F12" s="36"/>
      <c r="G12" s="36"/>
      <c r="H12" s="42"/>
    </row>
    <row r="13" spans="1:5" ht="12.75">
      <c r="A13" t="s">
        <v>144</v>
      </c>
      <c r="E13" s="6"/>
    </row>
    <row r="14" spans="1:5" ht="12.75">
      <c r="A14" t="s">
        <v>140</v>
      </c>
      <c r="D14" s="61" t="s">
        <v>137</v>
      </c>
      <c r="E14" s="61" t="s">
        <v>138</v>
      </c>
    </row>
    <row r="15" spans="1:5" ht="12.75">
      <c r="A15" t="s">
        <v>236</v>
      </c>
      <c r="D15" s="6">
        <v>4150000</v>
      </c>
      <c r="E15" s="6">
        <v>0</v>
      </c>
    </row>
    <row r="16" spans="1:5" ht="12.75">
      <c r="A16" t="s">
        <v>141</v>
      </c>
      <c r="D16" s="6">
        <v>70000</v>
      </c>
      <c r="E16" s="6">
        <v>0</v>
      </c>
    </row>
    <row r="17" spans="1:5" ht="12.75">
      <c r="A17" t="s">
        <v>142</v>
      </c>
      <c r="D17" s="6">
        <v>807919</v>
      </c>
      <c r="E17" s="6">
        <v>807919</v>
      </c>
    </row>
    <row r="18" spans="1:5" ht="12.75">
      <c r="A18" t="s">
        <v>143</v>
      </c>
      <c r="C18" s="41"/>
      <c r="D18" s="40">
        <v>0</v>
      </c>
      <c r="E18" s="40">
        <v>0</v>
      </c>
    </row>
    <row r="19" spans="3:5" ht="12.75">
      <c r="C19" t="s">
        <v>145</v>
      </c>
      <c r="D19" s="6">
        <f>SUM(D15:D18)</f>
        <v>5027919</v>
      </c>
      <c r="E19" s="6">
        <f>SUM(E15:E18)</f>
        <v>807919</v>
      </c>
    </row>
    <row r="20" ht="12.75">
      <c r="E20" s="6"/>
    </row>
    <row r="21" spans="1:5" ht="12.75">
      <c r="A21" t="s">
        <v>146</v>
      </c>
      <c r="E21" s="6"/>
    </row>
    <row r="22" spans="1:5" ht="12.75">
      <c r="A22" t="s">
        <v>140</v>
      </c>
      <c r="E22" s="6"/>
    </row>
    <row r="23" spans="1:5" ht="12.75">
      <c r="A23" t="s">
        <v>260</v>
      </c>
      <c r="D23" s="6">
        <v>1507485</v>
      </c>
      <c r="E23" s="6">
        <v>1450819</v>
      </c>
    </row>
    <row r="24" spans="1:5" ht="12.75">
      <c r="A24" t="s">
        <v>261</v>
      </c>
      <c r="C24" s="41"/>
      <c r="D24" s="40">
        <v>70000</v>
      </c>
      <c r="E24" s="40">
        <v>70000</v>
      </c>
    </row>
    <row r="25" spans="3:5" ht="12.75">
      <c r="C25" t="s">
        <v>145</v>
      </c>
      <c r="D25" s="6">
        <f>SUM(D23:D24)</f>
        <v>1577485</v>
      </c>
      <c r="E25" s="6">
        <f>SUM(E23:E24)</f>
        <v>1520819</v>
      </c>
    </row>
    <row r="27" spans="1:5" ht="12.75">
      <c r="A27" t="s">
        <v>147</v>
      </c>
      <c r="D27" s="6">
        <f>D19-D25</f>
        <v>3450434</v>
      </c>
      <c r="E27" s="6">
        <f>E19-E25</f>
        <v>-712900</v>
      </c>
    </row>
    <row r="28" ht="12.75">
      <c r="E28" s="6"/>
    </row>
    <row r="29" spans="4:8" s="35" customFormat="1" ht="14.25">
      <c r="D29" s="36"/>
      <c r="E29" s="36"/>
      <c r="F29" s="36"/>
      <c r="G29" s="36"/>
      <c r="H29" s="42"/>
    </row>
    <row r="30" ht="12.75">
      <c r="E30" s="6"/>
    </row>
    <row r="31" ht="12.75">
      <c r="E31" s="6"/>
    </row>
    <row r="32" ht="12.75">
      <c r="E32" s="6"/>
    </row>
    <row r="33" spans="1:9" ht="14.25">
      <c r="A33" s="2" t="s">
        <v>0</v>
      </c>
      <c r="F33" s="6" t="s">
        <v>137</v>
      </c>
      <c r="G33" s="6" t="s">
        <v>138</v>
      </c>
      <c r="H33" s="48" t="s">
        <v>136</v>
      </c>
      <c r="I33" s="39" t="s">
        <v>139</v>
      </c>
    </row>
    <row r="34" ht="14.25">
      <c r="A34" s="2"/>
    </row>
    <row r="35" spans="1:9" s="3" customFormat="1" ht="12.75">
      <c r="A35" s="3" t="s">
        <v>34</v>
      </c>
      <c r="B35" s="3" t="s">
        <v>35</v>
      </c>
      <c r="D35" s="10"/>
      <c r="F35" s="10">
        <f>SUM(F36)</f>
        <v>50</v>
      </c>
      <c r="G35" s="10">
        <f>SUM(G36)</f>
        <v>54</v>
      </c>
      <c r="H35" s="51">
        <f>G35/F35</f>
        <v>1.08</v>
      </c>
      <c r="I35" s="51">
        <f>G35/G$210</f>
        <v>7.075752614392316E-06</v>
      </c>
    </row>
    <row r="36" spans="2:9" s="3" customFormat="1" ht="12.75">
      <c r="B36" s="8" t="s">
        <v>1</v>
      </c>
      <c r="D36" s="10"/>
      <c r="F36" s="13">
        <v>50</v>
      </c>
      <c r="G36" s="13">
        <v>54</v>
      </c>
      <c r="H36" s="48">
        <f>G36/F36</f>
        <v>1.08</v>
      </c>
      <c r="I36" s="48">
        <f>G36/G$210</f>
        <v>7.075752614392316E-06</v>
      </c>
    </row>
    <row r="37" spans="2:9" s="3" customFormat="1" ht="12.75">
      <c r="B37" s="8"/>
      <c r="D37" s="10"/>
      <c r="F37" s="13"/>
      <c r="G37" s="13"/>
      <c r="H37" s="48"/>
      <c r="I37" s="48"/>
    </row>
    <row r="38" spans="1:9" s="21" customFormat="1" ht="12.75">
      <c r="A38" s="21" t="s">
        <v>71</v>
      </c>
      <c r="B38" s="21" t="s">
        <v>72</v>
      </c>
      <c r="D38" s="22"/>
      <c r="F38" s="22">
        <f>SUM(F40:F40)</f>
        <v>0</v>
      </c>
      <c r="G38" s="22">
        <f>SUM(G40:G40)</f>
        <v>13700</v>
      </c>
      <c r="H38" s="51"/>
      <c r="I38" s="51">
        <f>G38/G$210</f>
        <v>0.0017951446447624952</v>
      </c>
    </row>
    <row r="39" spans="2:9" s="3" customFormat="1" ht="12.75">
      <c r="B39" s="8" t="s">
        <v>263</v>
      </c>
      <c r="D39" s="10"/>
      <c r="F39" s="13"/>
      <c r="G39" s="13"/>
      <c r="H39" s="48"/>
      <c r="I39" s="48"/>
    </row>
    <row r="40" spans="2:9" s="3" customFormat="1" ht="12.75">
      <c r="B40" s="8" t="s">
        <v>262</v>
      </c>
      <c r="D40" s="10"/>
      <c r="F40" s="13">
        <v>0</v>
      </c>
      <c r="G40" s="13">
        <v>13700</v>
      </c>
      <c r="H40" s="48"/>
      <c r="I40" s="48">
        <f>G40/G$210</f>
        <v>0.0017951446447624952</v>
      </c>
    </row>
    <row r="41" spans="2:9" s="3" customFormat="1" ht="12.75">
      <c r="B41" s="8"/>
      <c r="D41" s="10"/>
      <c r="F41" s="13"/>
      <c r="G41" s="13"/>
      <c r="H41" s="48"/>
      <c r="I41" s="48"/>
    </row>
    <row r="42" spans="1:9" s="21" customFormat="1" ht="12.75">
      <c r="A42" s="21" t="s">
        <v>36</v>
      </c>
      <c r="B42" s="21" t="s">
        <v>37</v>
      </c>
      <c r="D42" s="22"/>
      <c r="F42" s="22"/>
      <c r="G42" s="22"/>
      <c r="H42" s="48"/>
      <c r="I42" s="48"/>
    </row>
    <row r="43" spans="2:9" ht="12.75">
      <c r="B43" t="s">
        <v>237</v>
      </c>
      <c r="F43" s="4">
        <v>562050</v>
      </c>
      <c r="G43" s="4">
        <v>136761</v>
      </c>
      <c r="H43" s="51">
        <f>G43/F43</f>
        <v>0.24332532692820924</v>
      </c>
      <c r="I43" s="51">
        <f>G43/G$210</f>
        <v>0.017920129690683476</v>
      </c>
    </row>
    <row r="44" spans="2:9" s="3" customFormat="1" ht="12.75">
      <c r="B44" s="8"/>
      <c r="D44" s="10"/>
      <c r="F44" s="13"/>
      <c r="G44" s="13"/>
      <c r="H44" s="48"/>
      <c r="I44" s="48"/>
    </row>
    <row r="45" spans="1:9" s="3" customFormat="1" ht="12.75">
      <c r="A45" s="3" t="s">
        <v>38</v>
      </c>
      <c r="B45" s="3" t="s">
        <v>39</v>
      </c>
      <c r="D45" s="10"/>
      <c r="F45" s="4"/>
      <c r="G45" s="4"/>
      <c r="H45" s="48"/>
      <c r="I45" s="48"/>
    </row>
    <row r="46" spans="2:9" ht="12.75">
      <c r="B46" t="s">
        <v>179</v>
      </c>
      <c r="F46" s="4">
        <f>F49+F52+F54+F56+F57+F58+F76+F80+F82+F79</f>
        <v>6606508</v>
      </c>
      <c r="G46" s="4">
        <f>G49+G52+G54+G56+G57+G58+G76+G80+G82+G79</f>
        <v>1929688</v>
      </c>
      <c r="H46" s="51">
        <f>G46/F46</f>
        <v>0.2920889522876533</v>
      </c>
      <c r="I46" s="51">
        <f>G46/G$210</f>
        <v>0.2528517576103978</v>
      </c>
    </row>
    <row r="47" spans="2:9" ht="12.75">
      <c r="B47" t="s">
        <v>3</v>
      </c>
      <c r="F47" s="5"/>
      <c r="G47" s="5"/>
      <c r="I47" s="48"/>
    </row>
    <row r="48" spans="2:9" ht="12.75">
      <c r="B48" t="s">
        <v>264</v>
      </c>
      <c r="F48" s="5"/>
      <c r="G48" s="5"/>
      <c r="I48" s="48"/>
    </row>
    <row r="49" spans="2:9" ht="12.75">
      <c r="B49" t="s">
        <v>40</v>
      </c>
      <c r="F49" s="5">
        <v>2852500</v>
      </c>
      <c r="G49" s="5">
        <v>722273</v>
      </c>
      <c r="H49" s="48">
        <f>G49/F49</f>
        <v>0.2532070113935145</v>
      </c>
      <c r="I49" s="48">
        <f>G49/G$210</f>
        <v>0.09464120496398114</v>
      </c>
    </row>
    <row r="50" spans="2:9" ht="12.75">
      <c r="B50" t="s">
        <v>265</v>
      </c>
      <c r="F50" s="5"/>
      <c r="G50" s="5"/>
      <c r="I50" s="48"/>
    </row>
    <row r="51" spans="2:9" ht="12.75">
      <c r="B51" t="s">
        <v>41</v>
      </c>
      <c r="F51" s="5"/>
      <c r="G51" s="5"/>
      <c r="I51" s="48"/>
    </row>
    <row r="52" spans="2:9" ht="12.75">
      <c r="B52" t="s">
        <v>42</v>
      </c>
      <c r="F52" s="5">
        <v>1100000</v>
      </c>
      <c r="G52" s="5">
        <v>396315</v>
      </c>
      <c r="H52" s="48">
        <f>G52/F52</f>
        <v>0.3602863636363636</v>
      </c>
      <c r="I52" s="48">
        <f>G52/G$210</f>
        <v>0.05193012772912761</v>
      </c>
    </row>
    <row r="53" spans="2:9" ht="12.75">
      <c r="B53" t="s">
        <v>266</v>
      </c>
      <c r="F53" s="5"/>
      <c r="G53" s="5"/>
      <c r="I53" s="48"/>
    </row>
    <row r="54" spans="2:9" ht="12.75">
      <c r="B54" t="s">
        <v>43</v>
      </c>
      <c r="F54" s="5">
        <v>84700</v>
      </c>
      <c r="G54" s="5">
        <v>54966</v>
      </c>
      <c r="H54" s="48">
        <f>G54/F54</f>
        <v>0.6489492325855962</v>
      </c>
      <c r="I54" s="48">
        <f>G54/G$210</f>
        <v>0.007202329966716446</v>
      </c>
    </row>
    <row r="55" spans="2:9" ht="12.75">
      <c r="B55" t="s">
        <v>267</v>
      </c>
      <c r="F55" s="5"/>
      <c r="G55" s="5"/>
      <c r="I55" s="48"/>
    </row>
    <row r="56" spans="2:9" ht="12.75">
      <c r="B56" t="s">
        <v>40</v>
      </c>
      <c r="F56" s="5">
        <v>0</v>
      </c>
      <c r="G56" s="5">
        <v>0</v>
      </c>
      <c r="I56" s="48"/>
    </row>
    <row r="57" spans="2:9" ht="12.75">
      <c r="B57" t="s">
        <v>268</v>
      </c>
      <c r="F57" s="5">
        <v>110000</v>
      </c>
      <c r="G57" s="5">
        <v>64067</v>
      </c>
      <c r="H57" s="48">
        <f>G57/F57</f>
        <v>0.5824272727272727</v>
      </c>
      <c r="I57" s="48">
        <f>G57/G$210</f>
        <v>0.008394856347153196</v>
      </c>
    </row>
    <row r="58" spans="2:9" ht="12.75">
      <c r="B58" t="s">
        <v>148</v>
      </c>
      <c r="F58" s="5">
        <f>SUM(F60:F74)</f>
        <v>2370500</v>
      </c>
      <c r="G58" s="5">
        <f>G60+G70+G72+G74</f>
        <v>667286</v>
      </c>
      <c r="H58" s="48">
        <f>G58/F58</f>
        <v>0.28149588694368277</v>
      </c>
      <c r="I58" s="48">
        <f>G58/G$210</f>
        <v>0.08743612331569244</v>
      </c>
    </row>
    <row r="59" spans="2:9" ht="12.75">
      <c r="B59" t="s">
        <v>24</v>
      </c>
      <c r="F59" s="5"/>
      <c r="G59" s="5"/>
      <c r="I59" s="48"/>
    </row>
    <row r="60" spans="2:9" s="45" customFormat="1" ht="12.75">
      <c r="B60" s="45" t="s">
        <v>44</v>
      </c>
      <c r="D60" s="46"/>
      <c r="E60" s="46"/>
      <c r="F60" s="47">
        <v>1888000</v>
      </c>
      <c r="G60" s="47">
        <f>SUM(G62:G68)</f>
        <v>385747</v>
      </c>
      <c r="H60" s="48">
        <f>G60/F60</f>
        <v>0.20431514830508474</v>
      </c>
      <c r="I60" s="48">
        <f>G60/G$210</f>
        <v>0.05054537673599987</v>
      </c>
    </row>
    <row r="61" spans="2:9" s="20" customFormat="1" ht="12.75">
      <c r="B61" s="20" t="s">
        <v>11</v>
      </c>
      <c r="D61" s="28"/>
      <c r="E61" s="28"/>
      <c r="F61" s="25"/>
      <c r="G61" s="25"/>
      <c r="H61" s="48"/>
      <c r="I61" s="48"/>
    </row>
    <row r="62" spans="2:9" ht="12.75">
      <c r="B62" s="20" t="s">
        <v>353</v>
      </c>
      <c r="F62" s="5"/>
      <c r="G62" s="5">
        <v>3800</v>
      </c>
      <c r="I62" s="48"/>
    </row>
    <row r="63" spans="2:9" ht="12.75">
      <c r="B63" t="s">
        <v>351</v>
      </c>
      <c r="F63" s="5"/>
      <c r="G63" s="5">
        <v>79500</v>
      </c>
      <c r="I63" s="48">
        <f>G63/G$210</f>
        <v>0.010417080237855356</v>
      </c>
    </row>
    <row r="64" spans="2:9" ht="12.75">
      <c r="B64" s="20" t="s">
        <v>352</v>
      </c>
      <c r="F64" s="5"/>
      <c r="G64" s="5">
        <v>4477</v>
      </c>
      <c r="I64" s="48">
        <f>G64/G$210</f>
        <v>0.0005866323047154519</v>
      </c>
    </row>
    <row r="65" spans="2:9" ht="12.75">
      <c r="B65" t="s">
        <v>354</v>
      </c>
      <c r="F65" s="5"/>
      <c r="G65" s="5">
        <v>3770</v>
      </c>
      <c r="I65" s="48">
        <f>G65/G$210</f>
        <v>0.0004939923584492414</v>
      </c>
    </row>
    <row r="66" spans="2:9" ht="12.75">
      <c r="B66" t="s">
        <v>355</v>
      </c>
      <c r="F66" s="5"/>
      <c r="G66" s="5"/>
      <c r="I66" s="48">
        <f>G66/G$210</f>
        <v>0</v>
      </c>
    </row>
    <row r="67" spans="2:9" ht="12.75">
      <c r="B67" t="s">
        <v>356</v>
      </c>
      <c r="F67" s="5"/>
      <c r="G67" s="5">
        <v>215400</v>
      </c>
      <c r="I67" s="48"/>
    </row>
    <row r="68" spans="2:9" ht="12.75">
      <c r="B68" t="s">
        <v>357</v>
      </c>
      <c r="F68" s="5"/>
      <c r="G68" s="5">
        <v>78800</v>
      </c>
      <c r="I68" s="48">
        <f>G68/G$210</f>
        <v>0.0103253575187799</v>
      </c>
    </row>
    <row r="69" spans="6:9" ht="12.75">
      <c r="F69" s="5"/>
      <c r="G69" s="5"/>
      <c r="I69" s="48"/>
    </row>
    <row r="70" spans="2:9" s="45" customFormat="1" ht="12.75">
      <c r="B70" s="45" t="s">
        <v>45</v>
      </c>
      <c r="D70" s="46"/>
      <c r="E70" s="46"/>
      <c r="F70" s="47">
        <v>107500</v>
      </c>
      <c r="G70" s="47">
        <v>281539</v>
      </c>
      <c r="H70" s="48">
        <f>G70/F70</f>
        <v>2.618967441860465</v>
      </c>
      <c r="I70" s="48">
        <f>G70/G$210</f>
        <v>0.03689074657969257</v>
      </c>
    </row>
    <row r="71" spans="4:9" s="45" customFormat="1" ht="12.75">
      <c r="D71" s="46"/>
      <c r="E71" s="46"/>
      <c r="F71" s="47"/>
      <c r="G71" s="47"/>
      <c r="H71" s="48"/>
      <c r="I71" s="48"/>
    </row>
    <row r="72" spans="2:9" s="45" customFormat="1" ht="12.75">
      <c r="B72" s="45" t="s">
        <v>269</v>
      </c>
      <c r="D72" s="46"/>
      <c r="E72" s="46"/>
      <c r="F72" s="47">
        <v>0</v>
      </c>
      <c r="G72" s="47">
        <v>0</v>
      </c>
      <c r="H72" s="48"/>
      <c r="I72" s="48"/>
    </row>
    <row r="73" spans="4:9" s="45" customFormat="1" ht="12.75">
      <c r="D73" s="46"/>
      <c r="E73" s="46"/>
      <c r="F73" s="47"/>
      <c r="G73" s="47"/>
      <c r="H73" s="48"/>
      <c r="I73" s="48"/>
    </row>
    <row r="74" spans="2:9" s="45" customFormat="1" ht="12.75">
      <c r="B74" s="45" t="s">
        <v>270</v>
      </c>
      <c r="D74" s="46"/>
      <c r="E74" s="46"/>
      <c r="F74" s="47">
        <v>375000</v>
      </c>
      <c r="G74" s="47">
        <v>0</v>
      </c>
      <c r="H74" s="48">
        <f>G74/F74</f>
        <v>0</v>
      </c>
      <c r="I74" s="48">
        <f>G74/G$210</f>
        <v>0</v>
      </c>
    </row>
    <row r="75" spans="4:9" s="45" customFormat="1" ht="12.75">
      <c r="D75" s="46"/>
      <c r="E75" s="46"/>
      <c r="F75" s="47"/>
      <c r="G75" s="47"/>
      <c r="H75" s="48"/>
      <c r="I75" s="48"/>
    </row>
    <row r="76" spans="2:9" ht="12.75">
      <c r="B76" s="9" t="s">
        <v>149</v>
      </c>
      <c r="C76" s="9"/>
      <c r="F76" s="5">
        <v>41000</v>
      </c>
      <c r="G76" s="5">
        <v>11130</v>
      </c>
      <c r="H76" s="48">
        <f>G76/F76</f>
        <v>0.27146341463414636</v>
      </c>
      <c r="I76" s="48">
        <f>G76/G$210</f>
        <v>0.0014583912332997498</v>
      </c>
    </row>
    <row r="77" spans="2:9" ht="12.75">
      <c r="B77" s="9"/>
      <c r="C77" s="9"/>
      <c r="F77" s="5"/>
      <c r="G77" s="5"/>
      <c r="I77" s="48"/>
    </row>
    <row r="78" spans="2:9" ht="12.75">
      <c r="B78" s="9" t="s">
        <v>358</v>
      </c>
      <c r="C78" s="9"/>
      <c r="F78" s="5"/>
      <c r="G78" s="5"/>
      <c r="I78" s="48"/>
    </row>
    <row r="79" spans="2:9" ht="12.75">
      <c r="B79" s="9" t="s">
        <v>359</v>
      </c>
      <c r="C79" s="9"/>
      <c r="F79" s="5">
        <v>400</v>
      </c>
      <c r="G79" s="5">
        <v>3336</v>
      </c>
      <c r="H79" s="48">
        <f>G79/F79</f>
        <v>8.34</v>
      </c>
      <c r="I79" s="48">
        <f>G79/G$210</f>
        <v>0.0004371242726224587</v>
      </c>
    </row>
    <row r="80" spans="2:9" ht="12.75">
      <c r="B80" s="9" t="s">
        <v>360</v>
      </c>
      <c r="C80" s="9"/>
      <c r="F80" s="5"/>
      <c r="G80" s="5"/>
      <c r="I80" s="48"/>
    </row>
    <row r="81" spans="2:9" ht="12.75">
      <c r="B81" t="s">
        <v>271</v>
      </c>
      <c r="F81" s="5"/>
      <c r="G81" s="5"/>
      <c r="I81" s="48"/>
    </row>
    <row r="82" spans="2:9" ht="12.75">
      <c r="B82" s="56" t="s">
        <v>314</v>
      </c>
      <c r="F82" s="5">
        <v>47408</v>
      </c>
      <c r="G82" s="5">
        <v>10315</v>
      </c>
      <c r="H82" s="48">
        <f>G82/F82</f>
        <v>0.21757931150860615</v>
      </c>
      <c r="I82" s="48">
        <f>G82/G$210</f>
        <v>0.0013515997818047546</v>
      </c>
    </row>
    <row r="83" spans="2:9" ht="12.75">
      <c r="B83" s="9"/>
      <c r="C83" s="9"/>
      <c r="F83" s="5"/>
      <c r="G83" s="5"/>
      <c r="I83" s="48"/>
    </row>
    <row r="84" spans="1:9" s="21" customFormat="1" ht="12.75">
      <c r="A84" s="21" t="s">
        <v>76</v>
      </c>
      <c r="B84" s="23" t="s">
        <v>150</v>
      </c>
      <c r="C84" s="23"/>
      <c r="D84" s="22"/>
      <c r="F84" s="24">
        <f>SUM(F85:F87)</f>
        <v>10100</v>
      </c>
      <c r="G84" s="24">
        <f>SUM(G85:G87)</f>
        <v>6275</v>
      </c>
      <c r="H84" s="51">
        <f>G84/F84</f>
        <v>0.6212871287128713</v>
      </c>
      <c r="I84" s="51">
        <f>G84/G$210</f>
        <v>0.0008222286602835516</v>
      </c>
    </row>
    <row r="85" spans="2:9" ht="12.75">
      <c r="B85" s="9" t="s">
        <v>272</v>
      </c>
      <c r="C85" s="9"/>
      <c r="F85" s="5">
        <v>8800</v>
      </c>
      <c r="G85" s="5">
        <v>4986</v>
      </c>
      <c r="H85" s="48">
        <f>G85/F85</f>
        <v>0.5665909090909091</v>
      </c>
      <c r="I85" s="48">
        <f>G85/G$210</f>
        <v>0.0006533278247288905</v>
      </c>
    </row>
    <row r="86" spans="2:9" ht="12.75">
      <c r="B86" s="9" t="s">
        <v>361</v>
      </c>
      <c r="C86" s="9"/>
      <c r="F86" s="5"/>
      <c r="G86" s="5"/>
      <c r="I86" s="48"/>
    </row>
    <row r="87" spans="2:9" ht="12" customHeight="1">
      <c r="B87" s="9" t="s">
        <v>362</v>
      </c>
      <c r="C87" s="9"/>
      <c r="F87" s="5">
        <v>1300</v>
      </c>
      <c r="G87" s="5">
        <v>1289</v>
      </c>
      <c r="H87" s="48">
        <f>G87/F87</f>
        <v>0.9915384615384616</v>
      </c>
      <c r="I87" s="48">
        <f>G87/G$210</f>
        <v>0.00016890083555466104</v>
      </c>
    </row>
    <row r="88" spans="2:9" ht="12" customHeight="1">
      <c r="B88" s="9"/>
      <c r="C88" s="9"/>
      <c r="F88" s="5"/>
      <c r="G88" s="5"/>
      <c r="I88" s="48"/>
    </row>
    <row r="89" spans="1:9" s="3" customFormat="1" ht="12.75">
      <c r="A89" s="3" t="s">
        <v>46</v>
      </c>
      <c r="B89" s="3" t="s">
        <v>47</v>
      </c>
      <c r="D89" s="10"/>
      <c r="F89" s="4"/>
      <c r="G89" s="4"/>
      <c r="H89" s="48"/>
      <c r="I89" s="48"/>
    </row>
    <row r="90" spans="2:9" ht="12.75">
      <c r="B90" t="s">
        <v>178</v>
      </c>
      <c r="F90" s="4">
        <f>SUM(F93:F102)</f>
        <v>197205</v>
      </c>
      <c r="G90" s="4">
        <f>SUM(G93:G102)</f>
        <v>76386</v>
      </c>
      <c r="H90" s="51">
        <f>G90/F90</f>
        <v>0.3873431201034456</v>
      </c>
      <c r="I90" s="51">
        <f>G90/G$210</f>
        <v>0.010009045170425399</v>
      </c>
    </row>
    <row r="91" spans="2:9" ht="12.75">
      <c r="B91" t="s">
        <v>14</v>
      </c>
      <c r="F91" s="11"/>
      <c r="G91" s="11"/>
      <c r="I91" s="48"/>
    </row>
    <row r="92" spans="2:9" ht="12.75">
      <c r="B92" t="s">
        <v>17</v>
      </c>
      <c r="F92" s="5"/>
      <c r="G92" s="5"/>
      <c r="I92" s="48"/>
    </row>
    <row r="93" spans="2:9" ht="12.75">
      <c r="B93" t="s">
        <v>18</v>
      </c>
      <c r="F93" s="5">
        <v>64000</v>
      </c>
      <c r="G93" s="5">
        <v>31998</v>
      </c>
      <c r="H93" s="48">
        <f aca="true" t="shared" si="0" ref="H93:H98">G93/F93</f>
        <v>0.49996875</v>
      </c>
      <c r="I93" s="48">
        <f>G93/G$210</f>
        <v>0.004192776521394914</v>
      </c>
    </row>
    <row r="94" spans="2:9" ht="12.75">
      <c r="B94" t="s">
        <v>48</v>
      </c>
      <c r="F94" s="5">
        <v>17500</v>
      </c>
      <c r="G94" s="5">
        <v>19175</v>
      </c>
      <c r="H94" s="48">
        <f t="shared" si="0"/>
        <v>1.0957142857142856</v>
      </c>
      <c r="I94" s="48">
        <f>G94/G$210</f>
        <v>0.002512547340388383</v>
      </c>
    </row>
    <row r="95" spans="2:9" ht="12.75">
      <c r="B95" t="s">
        <v>49</v>
      </c>
      <c r="F95" s="5">
        <v>400</v>
      </c>
      <c r="G95" s="5">
        <v>50</v>
      </c>
      <c r="H95" s="48">
        <f t="shared" si="0"/>
        <v>0.125</v>
      </c>
      <c r="I95" s="48">
        <f>G95/G$210</f>
        <v>6.551622791103997E-06</v>
      </c>
    </row>
    <row r="96" spans="2:9" ht="12.75">
      <c r="B96" t="s">
        <v>50</v>
      </c>
      <c r="F96" s="5">
        <v>11300</v>
      </c>
      <c r="G96" s="5">
        <v>6876</v>
      </c>
      <c r="H96" s="48">
        <f t="shared" si="0"/>
        <v>0.608495575221239</v>
      </c>
      <c r="I96" s="48">
        <f>G96/G$210</f>
        <v>0.0009009791662326216</v>
      </c>
    </row>
    <row r="97" spans="2:9" ht="12" customHeight="1">
      <c r="B97" s="9" t="s">
        <v>363</v>
      </c>
      <c r="C97" s="9"/>
      <c r="F97" s="5">
        <v>0</v>
      </c>
      <c r="G97" s="5">
        <v>3380</v>
      </c>
      <c r="I97" s="48"/>
    </row>
    <row r="98" spans="2:9" ht="12" customHeight="1">
      <c r="B98" s="9" t="s">
        <v>365</v>
      </c>
      <c r="C98" s="9"/>
      <c r="F98" s="5">
        <v>30000</v>
      </c>
      <c r="G98" s="5">
        <v>6021</v>
      </c>
      <c r="H98" s="48">
        <f t="shared" si="0"/>
        <v>0.2007</v>
      </c>
      <c r="I98" s="48">
        <f>G98/G$210</f>
        <v>0.0007889464165047434</v>
      </c>
    </row>
    <row r="99" spans="2:9" ht="12" customHeight="1">
      <c r="B99" s="9" t="s">
        <v>273</v>
      </c>
      <c r="C99" s="9"/>
      <c r="F99" s="5">
        <v>0</v>
      </c>
      <c r="G99" s="5">
        <v>0</v>
      </c>
      <c r="I99" s="48"/>
    </row>
    <row r="100" spans="2:9" ht="12" customHeight="1">
      <c r="B100" s="9" t="s">
        <v>274</v>
      </c>
      <c r="C100" s="9"/>
      <c r="F100" s="5">
        <v>6035</v>
      </c>
      <c r="G100" s="5">
        <v>7750</v>
      </c>
      <c r="H100" s="48">
        <f>G100/F100</f>
        <v>1.284175642087821</v>
      </c>
      <c r="I100" s="48">
        <f>G100/G$210</f>
        <v>0.0010155015326211196</v>
      </c>
    </row>
    <row r="101" spans="2:9" ht="12" customHeight="1">
      <c r="B101" s="9" t="s">
        <v>366</v>
      </c>
      <c r="C101" s="9"/>
      <c r="F101" s="5"/>
      <c r="G101" s="5"/>
      <c r="I101" s="48"/>
    </row>
    <row r="102" spans="2:9" ht="12" customHeight="1">
      <c r="B102" s="9" t="s">
        <v>364</v>
      </c>
      <c r="C102" s="9"/>
      <c r="F102" s="5">
        <v>67970</v>
      </c>
      <c r="G102" s="5">
        <v>1136</v>
      </c>
      <c r="H102" s="48">
        <f>G102/F102</f>
        <v>0.01671325584816831</v>
      </c>
      <c r="I102" s="48">
        <f>G102/G$210</f>
        <v>0.0001488528698138828</v>
      </c>
    </row>
    <row r="103" spans="2:9" ht="12" customHeight="1">
      <c r="B103" s="9"/>
      <c r="C103" s="9"/>
      <c r="F103" s="5"/>
      <c r="G103" s="5"/>
      <c r="I103" s="48"/>
    </row>
    <row r="104" spans="1:9" s="21" customFormat="1" ht="12" customHeight="1">
      <c r="A104" s="21" t="s">
        <v>51</v>
      </c>
      <c r="B104" s="23" t="s">
        <v>52</v>
      </c>
      <c r="C104" s="23"/>
      <c r="D104" s="22"/>
      <c r="F104" s="24">
        <f>SUM(F105:F107)</f>
        <v>14462</v>
      </c>
      <c r="G104" s="24">
        <f>SUM(G105:G107)</f>
        <v>13946</v>
      </c>
      <c r="H104" s="51">
        <f aca="true" t="shared" si="1" ref="H104:H165">G104/F104</f>
        <v>0.9643202876503941</v>
      </c>
      <c r="I104" s="51">
        <f>G104/G$210</f>
        <v>0.0018273786288947268</v>
      </c>
    </row>
    <row r="105" spans="2:9" ht="12" customHeight="1">
      <c r="B105" t="s">
        <v>315</v>
      </c>
      <c r="C105" s="9"/>
      <c r="F105" s="5">
        <v>1040</v>
      </c>
      <c r="G105" s="5">
        <v>524</v>
      </c>
      <c r="H105" s="48">
        <f t="shared" si="1"/>
        <v>0.5038461538461538</v>
      </c>
      <c r="I105" s="48">
        <f>G105/G$210</f>
        <v>6.866100685076988E-05</v>
      </c>
    </row>
    <row r="106" spans="2:9" ht="12" customHeight="1">
      <c r="B106" t="s">
        <v>316</v>
      </c>
      <c r="C106" s="9"/>
      <c r="F106" s="5">
        <v>3950</v>
      </c>
      <c r="G106" s="5">
        <v>3950</v>
      </c>
      <c r="H106" s="48">
        <f>G106/F106</f>
        <v>1</v>
      </c>
      <c r="I106" s="48">
        <f>G106/G$210</f>
        <v>0.0005175782004972157</v>
      </c>
    </row>
    <row r="107" spans="2:9" ht="12" customHeight="1">
      <c r="B107" t="s">
        <v>367</v>
      </c>
      <c r="C107" s="9"/>
      <c r="F107" s="5">
        <v>9472</v>
      </c>
      <c r="G107" s="5">
        <v>9472</v>
      </c>
      <c r="H107" s="48">
        <f>G107/F107</f>
        <v>1</v>
      </c>
      <c r="I107" s="48">
        <f>G107/G$210</f>
        <v>0.0012411394215467411</v>
      </c>
    </row>
    <row r="108" spans="3:9" ht="12" customHeight="1">
      <c r="C108" s="9"/>
      <c r="F108" s="5"/>
      <c r="G108" s="5"/>
      <c r="I108" s="48"/>
    </row>
    <row r="109" spans="1:9" s="3" customFormat="1" ht="12.75">
      <c r="A109" s="3" t="s">
        <v>53</v>
      </c>
      <c r="B109" s="27" t="s">
        <v>54</v>
      </c>
      <c r="D109" s="10"/>
      <c r="F109" s="4">
        <f>SUM(F110:F110)</f>
        <v>16000</v>
      </c>
      <c r="G109" s="4">
        <f>SUM(G110:G110)</f>
        <v>4692</v>
      </c>
      <c r="H109" s="51">
        <f t="shared" si="1"/>
        <v>0.29325</v>
      </c>
      <c r="I109" s="51">
        <f>G109/G$210</f>
        <v>0.0006148042827171991</v>
      </c>
    </row>
    <row r="110" spans="2:9" ht="12.75">
      <c r="B110" t="s">
        <v>368</v>
      </c>
      <c r="F110" s="25">
        <v>16000</v>
      </c>
      <c r="G110" s="25">
        <v>4692</v>
      </c>
      <c r="H110" s="48">
        <f t="shared" si="1"/>
        <v>0.29325</v>
      </c>
      <c r="I110" s="48">
        <f>G110/G$210</f>
        <v>0.0006148042827171991</v>
      </c>
    </row>
    <row r="111" spans="2:9" ht="12" customHeight="1">
      <c r="B111" s="9"/>
      <c r="C111" s="9"/>
      <c r="F111" s="5"/>
      <c r="G111" s="5"/>
      <c r="I111" s="48"/>
    </row>
    <row r="112" spans="1:9" s="3" customFormat="1" ht="12.75">
      <c r="A112" s="3" t="s">
        <v>55</v>
      </c>
      <c r="B112" s="3" t="s">
        <v>15</v>
      </c>
      <c r="D112" s="10"/>
      <c r="F112" s="5"/>
      <c r="G112" s="5"/>
      <c r="H112" s="48"/>
      <c r="I112" s="48"/>
    </row>
    <row r="113" spans="2:9" s="3" customFormat="1" ht="12.75">
      <c r="B113" s="3" t="s">
        <v>56</v>
      </c>
      <c r="D113" s="10"/>
      <c r="F113" s="5"/>
      <c r="G113" s="5"/>
      <c r="H113" s="48"/>
      <c r="I113" s="48"/>
    </row>
    <row r="114" spans="2:9" ht="12.75">
      <c r="B114" t="s">
        <v>179</v>
      </c>
      <c r="F114" s="4">
        <f>SUM(F117:F139)</f>
        <v>6829576</v>
      </c>
      <c r="G114" s="4">
        <f>SUM(G117:G139)</f>
        <v>3144101</v>
      </c>
      <c r="H114" s="51">
        <f t="shared" si="1"/>
        <v>0.4603654751041646</v>
      </c>
      <c r="I114" s="51">
        <f>G114/G$210</f>
        <v>0.4119792753826574</v>
      </c>
    </row>
    <row r="115" spans="2:9" ht="12.75">
      <c r="B115" t="s">
        <v>14</v>
      </c>
      <c r="F115" s="5"/>
      <c r="G115" s="5"/>
      <c r="I115" s="48"/>
    </row>
    <row r="116" spans="2:9" ht="12.75">
      <c r="B116" s="8" t="s">
        <v>60</v>
      </c>
      <c r="F116" s="5"/>
      <c r="G116" s="5"/>
      <c r="I116" s="48"/>
    </row>
    <row r="117" spans="2:9" ht="12.75">
      <c r="B117" s="8" t="s">
        <v>238</v>
      </c>
      <c r="F117" s="5">
        <v>140000</v>
      </c>
      <c r="G117" s="5">
        <v>38408</v>
      </c>
      <c r="H117" s="48">
        <f t="shared" si="1"/>
        <v>0.27434285714285717</v>
      </c>
      <c r="I117" s="48">
        <f aca="true" t="shared" si="2" ref="I117:I132">G117/G$210</f>
        <v>0.005032694563214446</v>
      </c>
    </row>
    <row r="118" spans="2:9" ht="12.75">
      <c r="B118" s="20" t="s">
        <v>57</v>
      </c>
      <c r="F118" s="5">
        <v>3452000</v>
      </c>
      <c r="G118" s="5">
        <v>1519529</v>
      </c>
      <c r="H118" s="48">
        <f t="shared" si="1"/>
        <v>0.44018800695249133</v>
      </c>
      <c r="I118" s="48">
        <f t="shared" si="2"/>
        <v>0.1991076165628693</v>
      </c>
    </row>
    <row r="119" spans="2:9" ht="12.75">
      <c r="B119" t="s">
        <v>16</v>
      </c>
      <c r="F119" s="5">
        <v>600</v>
      </c>
      <c r="G119" s="5">
        <v>340</v>
      </c>
      <c r="H119" s="48">
        <f t="shared" si="1"/>
        <v>0.5666666666666667</v>
      </c>
      <c r="I119" s="48">
        <f t="shared" si="2"/>
        <v>4.455103497950718E-05</v>
      </c>
    </row>
    <row r="120" spans="2:9" ht="12.75">
      <c r="B120" s="20" t="s">
        <v>58</v>
      </c>
      <c r="F120" s="5">
        <v>54000</v>
      </c>
      <c r="G120" s="5">
        <v>28805</v>
      </c>
      <c r="H120" s="48">
        <f t="shared" si="1"/>
        <v>0.533425925925926</v>
      </c>
      <c r="I120" s="48">
        <f t="shared" si="2"/>
        <v>0.0037743898899550124</v>
      </c>
    </row>
    <row r="121" spans="2:9" ht="12.75">
      <c r="B121" s="8" t="s">
        <v>59</v>
      </c>
      <c r="C121" s="8"/>
      <c r="D121" s="13"/>
      <c r="E121" s="8"/>
      <c r="F121" s="5">
        <v>20000</v>
      </c>
      <c r="G121" s="5">
        <v>20041</v>
      </c>
      <c r="H121" s="48">
        <f t="shared" si="1"/>
        <v>1.00205</v>
      </c>
      <c r="I121" s="48">
        <f t="shared" si="2"/>
        <v>0.0026260214471303042</v>
      </c>
    </row>
    <row r="122" spans="2:9" ht="12.75">
      <c r="B122" s="8" t="s">
        <v>151</v>
      </c>
      <c r="C122" s="8"/>
      <c r="D122" s="13"/>
      <c r="E122" s="8"/>
      <c r="F122" s="5">
        <v>23000</v>
      </c>
      <c r="G122" s="5">
        <v>30159</v>
      </c>
      <c r="H122" s="48">
        <f t="shared" si="1"/>
        <v>1.3112608695652175</v>
      </c>
      <c r="I122" s="48">
        <f t="shared" si="2"/>
        <v>0.003951807835138109</v>
      </c>
    </row>
    <row r="123" spans="2:9" ht="12.75">
      <c r="B123" s="20" t="s">
        <v>152</v>
      </c>
      <c r="C123" s="8"/>
      <c r="D123" s="13"/>
      <c r="E123" s="8"/>
      <c r="F123" s="5">
        <v>1000</v>
      </c>
      <c r="G123" s="5">
        <v>4530</v>
      </c>
      <c r="H123" s="48">
        <f t="shared" si="1"/>
        <v>4.53</v>
      </c>
      <c r="I123" s="48">
        <f t="shared" si="2"/>
        <v>0.0005935770248740221</v>
      </c>
    </row>
    <row r="124" spans="2:9" ht="12.75">
      <c r="B124" s="8" t="s">
        <v>153</v>
      </c>
      <c r="C124" s="8"/>
      <c r="D124" s="13"/>
      <c r="E124" s="8"/>
      <c r="F124" s="5">
        <v>50000</v>
      </c>
      <c r="G124" s="5">
        <v>40962</v>
      </c>
      <c r="H124" s="48">
        <f t="shared" si="1"/>
        <v>0.81924</v>
      </c>
      <c r="I124" s="48">
        <f t="shared" si="2"/>
        <v>0.005367351455384038</v>
      </c>
    </row>
    <row r="125" spans="2:9" ht="12.75">
      <c r="B125" s="8" t="s">
        <v>154</v>
      </c>
      <c r="C125" s="8"/>
      <c r="D125" s="13"/>
      <c r="E125" s="8"/>
      <c r="F125" s="5">
        <v>1000000</v>
      </c>
      <c r="G125" s="5">
        <v>488062</v>
      </c>
      <c r="H125" s="48">
        <f t="shared" si="1"/>
        <v>0.488062</v>
      </c>
      <c r="I125" s="48">
        <f t="shared" si="2"/>
        <v>0.06395196245343598</v>
      </c>
    </row>
    <row r="126" spans="2:9" ht="12.75">
      <c r="B126" t="s">
        <v>155</v>
      </c>
      <c r="C126" s="8"/>
      <c r="D126" s="13"/>
      <c r="E126" s="8"/>
      <c r="F126" s="5">
        <v>11000</v>
      </c>
      <c r="G126" s="5">
        <v>14607</v>
      </c>
      <c r="H126" s="48">
        <f t="shared" si="1"/>
        <v>1.327909090909091</v>
      </c>
      <c r="I126" s="48">
        <f t="shared" si="2"/>
        <v>0.0019139910821931218</v>
      </c>
    </row>
    <row r="127" spans="2:9" ht="12.75">
      <c r="B127" s="20" t="s">
        <v>156</v>
      </c>
      <c r="C127" s="8"/>
      <c r="D127" s="13"/>
      <c r="E127" s="8"/>
      <c r="F127" s="5">
        <v>50</v>
      </c>
      <c r="G127" s="5">
        <v>21</v>
      </c>
      <c r="H127" s="48">
        <f t="shared" si="1"/>
        <v>0.42</v>
      </c>
      <c r="I127" s="48">
        <f t="shared" si="2"/>
        <v>2.7516815722636787E-06</v>
      </c>
    </row>
    <row r="128" spans="2:9" ht="12.75">
      <c r="B128" s="8" t="s">
        <v>157</v>
      </c>
      <c r="C128" s="8"/>
      <c r="D128" s="13"/>
      <c r="E128" s="8"/>
      <c r="F128" s="5">
        <v>40000</v>
      </c>
      <c r="G128" s="5">
        <v>23902</v>
      </c>
      <c r="H128" s="48">
        <f t="shared" si="1"/>
        <v>0.59755</v>
      </c>
      <c r="I128" s="48">
        <f t="shared" si="2"/>
        <v>0.003131937759059355</v>
      </c>
    </row>
    <row r="129" spans="2:9" ht="12.75">
      <c r="B129" s="8" t="s">
        <v>158</v>
      </c>
      <c r="C129" s="8"/>
      <c r="D129" s="13"/>
      <c r="E129" s="8"/>
      <c r="F129" s="5">
        <v>44000</v>
      </c>
      <c r="G129" s="5">
        <v>55082</v>
      </c>
      <c r="H129" s="48">
        <f t="shared" si="1"/>
        <v>1.2518636363636364</v>
      </c>
      <c r="I129" s="48">
        <f t="shared" si="2"/>
        <v>0.007217529731591807</v>
      </c>
    </row>
    <row r="130" spans="2:9" ht="12.75">
      <c r="B130" s="8" t="s">
        <v>159</v>
      </c>
      <c r="C130" s="8"/>
      <c r="D130" s="13"/>
      <c r="E130" s="8"/>
      <c r="F130" s="5">
        <v>7000</v>
      </c>
      <c r="G130" s="5">
        <v>4024</v>
      </c>
      <c r="H130" s="48">
        <f t="shared" si="1"/>
        <v>0.5748571428571428</v>
      </c>
      <c r="I130" s="48">
        <f t="shared" si="2"/>
        <v>0.0005272746022280496</v>
      </c>
    </row>
    <row r="131" spans="2:9" ht="12.75">
      <c r="B131" s="8" t="s">
        <v>160</v>
      </c>
      <c r="C131" s="8"/>
      <c r="D131" s="13"/>
      <c r="E131" s="8"/>
      <c r="F131" s="5">
        <v>160000</v>
      </c>
      <c r="G131" s="5">
        <v>41585</v>
      </c>
      <c r="H131" s="48">
        <f t="shared" si="1"/>
        <v>0.25990625</v>
      </c>
      <c r="I131" s="48">
        <f t="shared" si="2"/>
        <v>0.0054489846753611945</v>
      </c>
    </row>
    <row r="132" spans="2:9" ht="12.75">
      <c r="B132" s="8" t="s">
        <v>161</v>
      </c>
      <c r="C132" s="8"/>
      <c r="D132" s="13"/>
      <c r="E132" s="8"/>
      <c r="F132" s="5">
        <v>145000</v>
      </c>
      <c r="G132" s="5">
        <v>82961</v>
      </c>
      <c r="H132" s="48">
        <f t="shared" si="1"/>
        <v>0.5721448275862069</v>
      </c>
      <c r="I132" s="48">
        <f t="shared" si="2"/>
        <v>0.010870583567455573</v>
      </c>
    </row>
    <row r="133" spans="2:9" ht="12.75">
      <c r="B133" s="8" t="s">
        <v>162</v>
      </c>
      <c r="C133" s="8"/>
      <c r="D133" s="13"/>
      <c r="E133" s="8"/>
      <c r="F133" s="5">
        <v>0</v>
      </c>
      <c r="G133" s="5">
        <v>0</v>
      </c>
      <c r="I133" s="48"/>
    </row>
    <row r="134" spans="2:9" ht="12.75">
      <c r="B134" s="8" t="s">
        <v>239</v>
      </c>
      <c r="C134" s="8"/>
      <c r="D134" s="13"/>
      <c r="E134" s="8"/>
      <c r="F134" s="5">
        <v>6000</v>
      </c>
      <c r="G134" s="5">
        <v>2121</v>
      </c>
      <c r="H134" s="48">
        <f t="shared" si="1"/>
        <v>0.3535</v>
      </c>
      <c r="I134" s="48">
        <f aca="true" t="shared" si="3" ref="I134:I139">G134/G$210</f>
        <v>0.0002779198387986315</v>
      </c>
    </row>
    <row r="135" spans="2:9" ht="12.75">
      <c r="B135" s="8" t="s">
        <v>163</v>
      </c>
      <c r="C135" s="8"/>
      <c r="D135" s="13"/>
      <c r="E135" s="8"/>
      <c r="F135" s="5">
        <v>28000</v>
      </c>
      <c r="G135" s="5">
        <v>10655</v>
      </c>
      <c r="H135" s="48">
        <f t="shared" si="1"/>
        <v>0.3805357142857143</v>
      </c>
      <c r="I135" s="48">
        <f t="shared" si="3"/>
        <v>0.0013961508167842618</v>
      </c>
    </row>
    <row r="136" spans="2:9" ht="12.75">
      <c r="B136" s="8" t="s">
        <v>275</v>
      </c>
      <c r="C136" s="8"/>
      <c r="D136" s="13"/>
      <c r="E136" s="8"/>
      <c r="F136" s="5">
        <v>31000</v>
      </c>
      <c r="G136" s="5">
        <v>22813</v>
      </c>
      <c r="H136" s="48">
        <f t="shared" si="1"/>
        <v>0.7359032258064516</v>
      </c>
      <c r="I136" s="48">
        <f t="shared" si="3"/>
        <v>0.0029892434146691097</v>
      </c>
    </row>
    <row r="137" spans="2:9" ht="12.75">
      <c r="B137" s="8" t="s">
        <v>369</v>
      </c>
      <c r="C137" s="8"/>
      <c r="D137" s="13"/>
      <c r="E137" s="8"/>
      <c r="F137" s="5">
        <v>230000</v>
      </c>
      <c r="G137" s="5">
        <v>207497</v>
      </c>
      <c r="H137" s="48">
        <f>G137/F137</f>
        <v>0.9021608695652173</v>
      </c>
      <c r="I137" s="48">
        <f t="shared" si="3"/>
        <v>0.02718884148571412</v>
      </c>
    </row>
    <row r="138" spans="2:9" ht="12.75">
      <c r="B138" s="8" t="s">
        <v>370</v>
      </c>
      <c r="C138" s="8"/>
      <c r="D138" s="13"/>
      <c r="E138" s="8"/>
      <c r="F138" s="5">
        <v>1382926</v>
      </c>
      <c r="G138" s="5">
        <v>497374</v>
      </c>
      <c r="H138" s="48">
        <f t="shared" si="1"/>
        <v>0.35965337263165204</v>
      </c>
      <c r="I138" s="48">
        <f t="shared" si="3"/>
        <v>0.06517213668205118</v>
      </c>
    </row>
    <row r="139" spans="2:9" ht="12.75">
      <c r="B139" s="8" t="s">
        <v>371</v>
      </c>
      <c r="C139" s="8"/>
      <c r="D139" s="13"/>
      <c r="E139" s="8"/>
      <c r="F139" s="5">
        <v>4000</v>
      </c>
      <c r="G139" s="5">
        <v>10623</v>
      </c>
      <c r="H139" s="48">
        <f t="shared" si="1"/>
        <v>2.65575</v>
      </c>
      <c r="I139" s="48">
        <f t="shared" si="3"/>
        <v>0.0013919577781979552</v>
      </c>
    </row>
    <row r="140" spans="2:9" ht="12" customHeight="1">
      <c r="B140" s="9"/>
      <c r="C140" s="9"/>
      <c r="F140" s="5"/>
      <c r="G140" s="5"/>
      <c r="I140" s="48"/>
    </row>
    <row r="141" spans="1:9" s="3" customFormat="1" ht="12.75">
      <c r="A141" s="3" t="s">
        <v>61</v>
      </c>
      <c r="B141" s="3" t="s">
        <v>19</v>
      </c>
      <c r="D141" s="10"/>
      <c r="F141" s="4">
        <f>SUM(F143:F150)</f>
        <v>2656367</v>
      </c>
      <c r="G141" s="4">
        <f>SUM(G143:G150)</f>
        <v>1577767</v>
      </c>
      <c r="H141" s="51">
        <f t="shared" si="1"/>
        <v>0.5939567085421555</v>
      </c>
      <c r="I141" s="51">
        <f>G141/G$210</f>
        <v>0.2067386847250356</v>
      </c>
    </row>
    <row r="142" spans="2:9" ht="12.75">
      <c r="B142" t="s">
        <v>164</v>
      </c>
      <c r="F142" s="4"/>
      <c r="G142" s="4"/>
      <c r="I142" s="48"/>
    </row>
    <row r="143" spans="2:9" ht="12.75">
      <c r="B143" t="s">
        <v>165</v>
      </c>
      <c r="F143" s="25">
        <v>2220084</v>
      </c>
      <c r="G143" s="25">
        <v>1366208</v>
      </c>
      <c r="H143" s="48">
        <f t="shared" si="1"/>
        <v>0.6153857241437711</v>
      </c>
      <c r="I143" s="48">
        <f>G143/G$210</f>
        <v>0.1790175894037722</v>
      </c>
    </row>
    <row r="144" spans="2:9" ht="12.75">
      <c r="B144" t="s">
        <v>166</v>
      </c>
      <c r="F144" s="25">
        <v>4305</v>
      </c>
      <c r="G144" s="25">
        <v>2154</v>
      </c>
      <c r="H144" s="48">
        <f t="shared" si="1"/>
        <v>0.5003484320557491</v>
      </c>
      <c r="I144" s="48">
        <f>G144/G$210</f>
        <v>0.0002822439098407602</v>
      </c>
    </row>
    <row r="145" spans="2:9" ht="12.75">
      <c r="B145" t="s">
        <v>167</v>
      </c>
      <c r="F145" s="25"/>
      <c r="G145" s="25"/>
      <c r="I145" s="48"/>
    </row>
    <row r="146" spans="2:9" ht="12.75">
      <c r="B146" t="s">
        <v>168</v>
      </c>
      <c r="F146" s="25">
        <v>426127</v>
      </c>
      <c r="G146" s="25">
        <v>213066</v>
      </c>
      <c r="H146" s="48">
        <f t="shared" si="1"/>
        <v>0.5000058667955797</v>
      </c>
      <c r="I146" s="48">
        <f>G146/G$210</f>
        <v>0.027918561232187285</v>
      </c>
    </row>
    <row r="147" spans="2:9" ht="12.75">
      <c r="B147" t="s">
        <v>169</v>
      </c>
      <c r="F147" s="25"/>
      <c r="G147" s="25"/>
      <c r="I147" s="48"/>
    </row>
    <row r="148" spans="2:9" ht="12.75">
      <c r="B148" t="s">
        <v>170</v>
      </c>
      <c r="F148" s="25">
        <v>5851</v>
      </c>
      <c r="G148" s="25">
        <v>5850</v>
      </c>
      <c r="H148" s="48">
        <f t="shared" si="1"/>
        <v>0.9998290890446078</v>
      </c>
      <c r="I148" s="48">
        <f>G148/G$210</f>
        <v>0.0007665398665591676</v>
      </c>
    </row>
    <row r="149" spans="2:9" ht="12.75">
      <c r="B149" t="s">
        <v>171</v>
      </c>
      <c r="F149" s="25"/>
      <c r="G149" s="25"/>
      <c r="I149" s="48"/>
    </row>
    <row r="150" spans="2:9" ht="12" customHeight="1">
      <c r="B150" s="9" t="s">
        <v>172</v>
      </c>
      <c r="C150" s="9"/>
      <c r="F150" s="25">
        <v>0</v>
      </c>
      <c r="G150" s="25">
        <v>-9511</v>
      </c>
      <c r="I150" s="48">
        <f>G150/G$210</f>
        <v>-0.0012462496873238023</v>
      </c>
    </row>
    <row r="151" spans="2:9" ht="12" customHeight="1">
      <c r="B151" s="9"/>
      <c r="C151" s="9"/>
      <c r="F151" s="25"/>
      <c r="G151" s="25"/>
      <c r="I151" s="48"/>
    </row>
    <row r="152" spans="1:9" s="3" customFormat="1" ht="12.75">
      <c r="A152" s="3" t="s">
        <v>62</v>
      </c>
      <c r="B152" s="3" t="s">
        <v>4</v>
      </c>
      <c r="D152" s="10"/>
      <c r="F152" s="4"/>
      <c r="G152" s="4"/>
      <c r="H152" s="48"/>
      <c r="I152" s="48"/>
    </row>
    <row r="153" spans="2:9" ht="12.75">
      <c r="B153" t="s">
        <v>178</v>
      </c>
      <c r="F153" s="4">
        <f>F155+F158++F163+F168+F170+F172+F174</f>
        <v>268104</v>
      </c>
      <c r="G153" s="4">
        <f>G155+G158++G163+G168+G170+G172+G174</f>
        <v>146099</v>
      </c>
      <c r="H153" s="51">
        <f t="shared" si="1"/>
        <v>0.5449340554411721</v>
      </c>
      <c r="I153" s="51">
        <f>G153/G$210</f>
        <v>0.01914371076315006</v>
      </c>
    </row>
    <row r="154" spans="2:9" ht="12.75">
      <c r="B154" t="s">
        <v>5</v>
      </c>
      <c r="F154" s="5"/>
      <c r="G154" s="5"/>
      <c r="I154" s="48"/>
    </row>
    <row r="155" spans="2:9" ht="12.75">
      <c r="B155" t="s">
        <v>243</v>
      </c>
      <c r="F155" s="5">
        <f>300+1500+25</f>
        <v>1825</v>
      </c>
      <c r="G155" s="5">
        <f>76+255+222</f>
        <v>553</v>
      </c>
      <c r="H155" s="48">
        <f t="shared" si="1"/>
        <v>0.303013698630137</v>
      </c>
      <c r="I155" s="48">
        <f>G155/G$210</f>
        <v>7.246094806961021E-05</v>
      </c>
    </row>
    <row r="156" spans="6:9" ht="12.75">
      <c r="F156" s="5"/>
      <c r="G156" s="5"/>
      <c r="I156" s="48"/>
    </row>
    <row r="157" spans="2:9" ht="12.75">
      <c r="B157" t="s">
        <v>173</v>
      </c>
      <c r="F157" s="5"/>
      <c r="G157" s="5"/>
      <c r="I157" s="48"/>
    </row>
    <row r="158" spans="2:9" ht="12.75">
      <c r="B158" t="s">
        <v>6</v>
      </c>
      <c r="F158" s="5">
        <f>SUM(F160:F162)</f>
        <v>22500</v>
      </c>
      <c r="G158" s="5">
        <f>SUM(G160:G162)</f>
        <v>18029</v>
      </c>
      <c r="H158" s="48">
        <f t="shared" si="1"/>
        <v>0.8012888888888889</v>
      </c>
      <c r="I158" s="48">
        <f>G158/G$210</f>
        <v>0.0023623841460162793</v>
      </c>
    </row>
    <row r="159" spans="2:9" ht="12.75">
      <c r="B159" t="s">
        <v>7</v>
      </c>
      <c r="F159" s="5"/>
      <c r="G159" s="5"/>
      <c r="I159" s="48"/>
    </row>
    <row r="160" spans="2:9" ht="12.75">
      <c r="B160" t="s">
        <v>8</v>
      </c>
      <c r="F160" s="5">
        <v>6300</v>
      </c>
      <c r="G160" s="5">
        <v>5880</v>
      </c>
      <c r="H160" s="48">
        <f t="shared" si="1"/>
        <v>0.9333333333333333</v>
      </c>
      <c r="I160" s="48">
        <f>G160/G$210</f>
        <v>0.0007704708402338301</v>
      </c>
    </row>
    <row r="161" spans="2:9" ht="12.75">
      <c r="B161" t="s">
        <v>9</v>
      </c>
      <c r="F161" s="5">
        <v>7200</v>
      </c>
      <c r="G161" s="5">
        <v>4526</v>
      </c>
      <c r="H161" s="48">
        <f t="shared" si="1"/>
        <v>0.6286111111111111</v>
      </c>
      <c r="I161" s="48">
        <f>G161/G$210</f>
        <v>0.0005930528950507338</v>
      </c>
    </row>
    <row r="162" spans="2:9" ht="12.75">
      <c r="B162" t="s">
        <v>10</v>
      </c>
      <c r="F162" s="5">
        <v>9000</v>
      </c>
      <c r="G162" s="5">
        <v>7623</v>
      </c>
      <c r="H162" s="48">
        <f t="shared" si="1"/>
        <v>0.847</v>
      </c>
      <c r="I162" s="48">
        <f>G162/G$210</f>
        <v>0.0009988604107317154</v>
      </c>
    </row>
    <row r="163" spans="2:9" ht="12.75">
      <c r="B163" t="s">
        <v>175</v>
      </c>
      <c r="F163" s="5">
        <f>SUM(F165:F167)</f>
        <v>225440</v>
      </c>
      <c r="G163" s="5">
        <f>SUM(G165:G167)</f>
        <v>110217</v>
      </c>
      <c r="H163" s="48">
        <f t="shared" si="1"/>
        <v>0.4888972675656494</v>
      </c>
      <c r="I163" s="48">
        <f>G163/G$210</f>
        <v>0.014442004183342185</v>
      </c>
    </row>
    <row r="164" spans="2:9" ht="12.75">
      <c r="B164" t="s">
        <v>11</v>
      </c>
      <c r="F164" s="5"/>
      <c r="G164" s="5"/>
      <c r="I164" s="48"/>
    </row>
    <row r="165" spans="2:9" ht="12.75">
      <c r="B165" t="s">
        <v>12</v>
      </c>
      <c r="F165" s="5">
        <v>92800</v>
      </c>
      <c r="G165" s="5">
        <v>44917</v>
      </c>
      <c r="H165" s="48">
        <f t="shared" si="1"/>
        <v>0.48401939655172416</v>
      </c>
      <c r="I165" s="48">
        <f>G165/G$210</f>
        <v>0.005885584818160364</v>
      </c>
    </row>
    <row r="166" spans="2:9" ht="12.75">
      <c r="B166" t="s">
        <v>240</v>
      </c>
      <c r="F166" s="5">
        <v>40140</v>
      </c>
      <c r="G166" s="5">
        <v>19988</v>
      </c>
      <c r="H166" s="48">
        <f>G166/F166</f>
        <v>0.4979571499750872</v>
      </c>
      <c r="I166" s="48">
        <f>G166/G$210</f>
        <v>0.002619076726971734</v>
      </c>
    </row>
    <row r="167" spans="2:9" ht="12.75">
      <c r="B167" s="9" t="s">
        <v>174</v>
      </c>
      <c r="F167" s="5">
        <v>92500</v>
      </c>
      <c r="G167" s="5">
        <v>45312</v>
      </c>
      <c r="H167" s="48">
        <f>G167/F167</f>
        <v>0.48985945945945947</v>
      </c>
      <c r="I167" s="48">
        <f>G167/G$210</f>
        <v>0.005937342638210086</v>
      </c>
    </row>
    <row r="168" spans="2:9" ht="12.75">
      <c r="B168" t="s">
        <v>241</v>
      </c>
      <c r="F168" s="5">
        <v>500</v>
      </c>
      <c r="G168" s="5">
        <v>0</v>
      </c>
      <c r="I168" s="48"/>
    </row>
    <row r="169" spans="2:9" ht="12.75">
      <c r="B169" t="s">
        <v>242</v>
      </c>
      <c r="F169" s="5"/>
      <c r="G169" s="5"/>
      <c r="I169" s="48"/>
    </row>
    <row r="170" spans="2:9" ht="12.75">
      <c r="B170" t="s">
        <v>176</v>
      </c>
      <c r="F170" s="5">
        <v>16300</v>
      </c>
      <c r="G170" s="5">
        <v>16300</v>
      </c>
      <c r="H170" s="48">
        <f>G170/F170</f>
        <v>1</v>
      </c>
      <c r="I170" s="48">
        <f>G170/G$210</f>
        <v>0.002135829029899903</v>
      </c>
    </row>
    <row r="171" spans="2:9" ht="12.75">
      <c r="B171" t="s">
        <v>372</v>
      </c>
      <c r="F171" s="5"/>
      <c r="G171" s="5"/>
      <c r="I171" s="48"/>
    </row>
    <row r="172" spans="2:9" ht="12.75">
      <c r="B172" t="s">
        <v>373</v>
      </c>
      <c r="F172" s="5">
        <v>156</v>
      </c>
      <c r="G172" s="5">
        <v>0</v>
      </c>
      <c r="I172" s="48"/>
    </row>
    <row r="173" spans="6:9" ht="12.75">
      <c r="F173" s="5"/>
      <c r="G173" s="5"/>
      <c r="I173" s="48"/>
    </row>
    <row r="174" spans="2:9" ht="12.75">
      <c r="B174" t="s">
        <v>317</v>
      </c>
      <c r="F174" s="5">
        <v>1383</v>
      </c>
      <c r="G174" s="5">
        <v>1000</v>
      </c>
      <c r="H174" s="48">
        <f>G174/F174</f>
        <v>0.7230657989877078</v>
      </c>
      <c r="I174" s="48">
        <f>G174/G$210</f>
        <v>0.00013103245582207993</v>
      </c>
    </row>
    <row r="175" spans="6:9" ht="12.75">
      <c r="F175" s="5"/>
      <c r="G175" s="5"/>
      <c r="I175" s="48"/>
    </row>
    <row r="176" spans="1:9" s="3" customFormat="1" ht="12.75">
      <c r="A176" s="3" t="s">
        <v>63</v>
      </c>
      <c r="B176" s="3" t="s">
        <v>13</v>
      </c>
      <c r="D176" s="10"/>
      <c r="F176" s="5"/>
      <c r="G176" s="5"/>
      <c r="H176" s="48"/>
      <c r="I176" s="48"/>
    </row>
    <row r="177" spans="2:9" ht="12.75">
      <c r="B177" t="s">
        <v>178</v>
      </c>
      <c r="F177" s="4">
        <f>SUM(F179:F188)</f>
        <v>603683</v>
      </c>
      <c r="G177" s="4">
        <f>SUM(G179:G188)</f>
        <v>323907</v>
      </c>
      <c r="H177" s="51">
        <f>G177/F177</f>
        <v>0.536551468237469</v>
      </c>
      <c r="I177" s="51">
        <f>G177/G$210</f>
        <v>0.04244232966796244</v>
      </c>
    </row>
    <row r="178" spans="2:9" ht="12.75">
      <c r="B178" t="s">
        <v>14</v>
      </c>
      <c r="F178" s="5"/>
      <c r="G178" s="5"/>
      <c r="I178" s="48"/>
    </row>
    <row r="179" spans="2:9" ht="12.75">
      <c r="B179" t="s">
        <v>177</v>
      </c>
      <c r="F179" s="5">
        <v>3000</v>
      </c>
      <c r="G179" s="5">
        <v>3097</v>
      </c>
      <c r="H179" s="48">
        <f>G179/F179</f>
        <v>1.0323333333333333</v>
      </c>
      <c r="I179" s="48">
        <f>G179/G$210</f>
        <v>0.0004058075156809816</v>
      </c>
    </row>
    <row r="180" spans="2:9" ht="12.75">
      <c r="B180" t="s">
        <v>276</v>
      </c>
      <c r="F180" s="5">
        <v>15000</v>
      </c>
      <c r="G180" s="5">
        <v>7500</v>
      </c>
      <c r="H180" s="48">
        <f>G180/F180</f>
        <v>0.5</v>
      </c>
      <c r="I180" s="48">
        <f>G180/G$210</f>
        <v>0.0009827434186655995</v>
      </c>
    </row>
    <row r="181" spans="2:9" ht="12.75">
      <c r="B181" t="s">
        <v>277</v>
      </c>
      <c r="F181" s="5"/>
      <c r="G181" s="5"/>
      <c r="I181" s="48"/>
    </row>
    <row r="182" spans="2:9" ht="12.75">
      <c r="B182" t="s">
        <v>278</v>
      </c>
      <c r="F182" s="5">
        <v>336800</v>
      </c>
      <c r="G182" s="5">
        <v>144001</v>
      </c>
      <c r="H182" s="48">
        <f aca="true" t="shared" si="4" ref="H182:H188">G182/F182</f>
        <v>0.4275564133016627</v>
      </c>
      <c r="I182" s="48">
        <f aca="true" t="shared" si="5" ref="I182:I188">G182/G$210</f>
        <v>0.018868804670835335</v>
      </c>
    </row>
    <row r="183" spans="2:9" ht="12.75">
      <c r="B183" t="s">
        <v>279</v>
      </c>
      <c r="F183" s="5">
        <v>54579</v>
      </c>
      <c r="G183" s="5">
        <v>54579</v>
      </c>
      <c r="H183" s="48">
        <f t="shared" si="4"/>
        <v>1</v>
      </c>
      <c r="I183" s="48">
        <f t="shared" si="5"/>
        <v>0.007151620406313301</v>
      </c>
    </row>
    <row r="184" spans="2:9" ht="12.75">
      <c r="B184" t="s">
        <v>280</v>
      </c>
      <c r="F184" s="5">
        <v>47100</v>
      </c>
      <c r="G184" s="5">
        <v>24032</v>
      </c>
      <c r="H184" s="48">
        <f t="shared" si="4"/>
        <v>0.5102335456475584</v>
      </c>
      <c r="I184" s="48">
        <f t="shared" si="5"/>
        <v>0.003148971978316225</v>
      </c>
    </row>
    <row r="185" spans="2:9" ht="12.75">
      <c r="B185" t="s">
        <v>281</v>
      </c>
      <c r="F185" s="5">
        <v>101000</v>
      </c>
      <c r="G185" s="5">
        <v>50502</v>
      </c>
      <c r="H185" s="48">
        <f t="shared" si="4"/>
        <v>0.500019801980198</v>
      </c>
      <c r="I185" s="48">
        <f t="shared" si="5"/>
        <v>0.006617401083926681</v>
      </c>
    </row>
    <row r="186" spans="2:9" ht="12.75">
      <c r="B186" t="s">
        <v>282</v>
      </c>
      <c r="F186" s="5">
        <v>5000</v>
      </c>
      <c r="G186" s="5">
        <v>3980</v>
      </c>
      <c r="H186" s="48">
        <f t="shared" si="4"/>
        <v>0.796</v>
      </c>
      <c r="I186" s="48">
        <f t="shared" si="5"/>
        <v>0.0005215091741718782</v>
      </c>
    </row>
    <row r="187" spans="2:9" ht="12.75">
      <c r="B187" t="s">
        <v>283</v>
      </c>
      <c r="F187" s="5">
        <v>39764</v>
      </c>
      <c r="G187" s="5">
        <v>34776</v>
      </c>
      <c r="H187" s="48">
        <f t="shared" si="4"/>
        <v>0.8745599034302384</v>
      </c>
      <c r="I187" s="48">
        <f t="shared" si="5"/>
        <v>0.0045567846836686516</v>
      </c>
    </row>
    <row r="188" spans="2:9" ht="12.75">
      <c r="B188" t="s">
        <v>318</v>
      </c>
      <c r="F188" s="5">
        <v>1440</v>
      </c>
      <c r="G188" s="5">
        <v>1440</v>
      </c>
      <c r="H188" s="48">
        <f t="shared" si="4"/>
        <v>1</v>
      </c>
      <c r="I188" s="48">
        <f t="shared" si="5"/>
        <v>0.00018868673638379512</v>
      </c>
    </row>
    <row r="189" spans="6:9" ht="12.75">
      <c r="F189" s="5"/>
      <c r="G189" s="5"/>
      <c r="I189" s="48"/>
    </row>
    <row r="190" spans="1:9" s="21" customFormat="1" ht="12.75">
      <c r="A190" s="21" t="s">
        <v>64</v>
      </c>
      <c r="B190" s="21" t="s">
        <v>319</v>
      </c>
      <c r="D190" s="22"/>
      <c r="F190" s="24"/>
      <c r="G190" s="24"/>
      <c r="H190" s="51"/>
      <c r="I190" s="51"/>
    </row>
    <row r="191" spans="2:9" s="20" customFormat="1" ht="12.75">
      <c r="B191" s="20" t="s">
        <v>179</v>
      </c>
      <c r="D191" s="28"/>
      <c r="F191" s="24">
        <f>F194+F195+F201</f>
        <v>397377</v>
      </c>
      <c r="G191" s="24">
        <f>G194+G195+G201</f>
        <v>178468</v>
      </c>
      <c r="H191" s="51">
        <f>G191/F191</f>
        <v>0.4491150720851987</v>
      </c>
      <c r="I191" s="51">
        <f>G191/G$210</f>
        <v>0.023385100325654964</v>
      </c>
    </row>
    <row r="192" spans="2:9" ht="12.75">
      <c r="B192" t="s">
        <v>14</v>
      </c>
      <c r="F192" s="5"/>
      <c r="G192" s="5"/>
      <c r="I192" s="48"/>
    </row>
    <row r="193" spans="2:9" ht="12.75">
      <c r="B193" t="s">
        <v>374</v>
      </c>
      <c r="F193" s="5"/>
      <c r="G193" s="5"/>
      <c r="I193" s="48"/>
    </row>
    <row r="194" spans="2:9" ht="12.75">
      <c r="B194" t="s">
        <v>180</v>
      </c>
      <c r="F194" s="5">
        <v>208677</v>
      </c>
      <c r="G194" s="5">
        <v>80300</v>
      </c>
      <c r="H194" s="48">
        <f>G194/F194</f>
        <v>0.38480522530034456</v>
      </c>
      <c r="I194" s="48">
        <f>G194/G$210</f>
        <v>0.01052190620251302</v>
      </c>
    </row>
    <row r="195" spans="2:9" ht="12.75">
      <c r="B195" t="s">
        <v>182</v>
      </c>
      <c r="F195" s="5">
        <f>SUM(F197:F199)</f>
        <v>185000</v>
      </c>
      <c r="G195" s="5">
        <f>SUM(G197:G199)</f>
        <v>94468</v>
      </c>
      <c r="H195" s="48">
        <f>G195/F195</f>
        <v>0.5106378378378378</v>
      </c>
      <c r="I195" s="48">
        <f>G195/G$210</f>
        <v>0.012378374036600248</v>
      </c>
    </row>
    <row r="196" spans="2:9" ht="12.75">
      <c r="B196" t="s">
        <v>24</v>
      </c>
      <c r="F196" s="5"/>
      <c r="G196" s="5"/>
      <c r="I196" s="48"/>
    </row>
    <row r="197" spans="2:9" ht="12.75">
      <c r="B197" t="s">
        <v>25</v>
      </c>
      <c r="F197" s="5">
        <v>90000</v>
      </c>
      <c r="G197" s="5">
        <v>81968</v>
      </c>
      <c r="H197" s="48">
        <f>G197/F197</f>
        <v>0.9107555555555555</v>
      </c>
      <c r="I197" s="48">
        <f>G197/G$210</f>
        <v>0.010740468338824248</v>
      </c>
    </row>
    <row r="198" spans="2:9" ht="12.75">
      <c r="B198" t="s">
        <v>26</v>
      </c>
      <c r="F198" s="5">
        <v>30000</v>
      </c>
      <c r="G198" s="5">
        <v>2500</v>
      </c>
      <c r="H198" s="48">
        <f>G198/F198</f>
        <v>0.08333333333333333</v>
      </c>
      <c r="I198" s="48">
        <f>G198/G$210</f>
        <v>0.00032758113955519983</v>
      </c>
    </row>
    <row r="199" spans="2:9" ht="12.75">
      <c r="B199" t="s">
        <v>181</v>
      </c>
      <c r="F199" s="5">
        <v>65000</v>
      </c>
      <c r="G199" s="5">
        <v>10000</v>
      </c>
      <c r="H199" s="48">
        <f>G199/F199</f>
        <v>0.15384615384615385</v>
      </c>
      <c r="I199" s="48">
        <f>G199/G$210</f>
        <v>0.0013103245582207993</v>
      </c>
    </row>
    <row r="200" spans="2:9" ht="12.75">
      <c r="B200" t="s">
        <v>244</v>
      </c>
      <c r="F200" s="5"/>
      <c r="G200" s="5"/>
      <c r="I200" s="48"/>
    </row>
    <row r="201" spans="2:9" ht="12.75">
      <c r="B201" t="s">
        <v>176</v>
      </c>
      <c r="F201" s="5">
        <v>3700</v>
      </c>
      <c r="G201" s="5">
        <v>3700</v>
      </c>
      <c r="H201" s="48">
        <f>G201/F201</f>
        <v>1</v>
      </c>
      <c r="I201" s="48">
        <f>G201/G$210</f>
        <v>0.00048482008654169575</v>
      </c>
    </row>
    <row r="202" spans="6:9" ht="12.75">
      <c r="F202" s="5"/>
      <c r="G202" s="5"/>
      <c r="I202" s="48"/>
    </row>
    <row r="203" spans="1:9" s="21" customFormat="1" ht="12.75">
      <c r="A203" s="21" t="s">
        <v>66</v>
      </c>
      <c r="B203" s="21" t="s">
        <v>67</v>
      </c>
      <c r="D203" s="22"/>
      <c r="F203" s="24"/>
      <c r="G203" s="24"/>
      <c r="H203" s="48"/>
      <c r="I203" s="48"/>
    </row>
    <row r="204" spans="2:9" s="21" customFormat="1" ht="12.75">
      <c r="B204" s="21" t="s">
        <v>68</v>
      </c>
      <c r="D204" s="22"/>
      <c r="F204" s="24"/>
      <c r="G204" s="24"/>
      <c r="H204" s="48"/>
      <c r="I204" s="48"/>
    </row>
    <row r="205" spans="2:9" ht="12.75">
      <c r="B205" t="s">
        <v>2</v>
      </c>
      <c r="F205" s="4">
        <f>SUM(F208:F208)</f>
        <v>101000</v>
      </c>
      <c r="G205" s="4">
        <f>SUM(G208:G208)</f>
        <v>79853</v>
      </c>
      <c r="H205" s="51">
        <f>G205/F205</f>
        <v>0.7906237623762377</v>
      </c>
      <c r="I205" s="51">
        <f>G205/G$210</f>
        <v>0.010463334694760549</v>
      </c>
    </row>
    <row r="206" spans="2:9" ht="12.75">
      <c r="B206" t="s">
        <v>69</v>
      </c>
      <c r="F206" s="5"/>
      <c r="G206" s="5"/>
      <c r="I206" s="48"/>
    </row>
    <row r="207" spans="2:9" ht="12.75">
      <c r="B207" t="s">
        <v>70</v>
      </c>
      <c r="F207" s="5"/>
      <c r="G207" s="5"/>
      <c r="I207" s="48"/>
    </row>
    <row r="208" spans="2:9" ht="12.75">
      <c r="B208" t="s">
        <v>183</v>
      </c>
      <c r="F208" s="5">
        <v>101000</v>
      </c>
      <c r="G208" s="5">
        <v>79853</v>
      </c>
      <c r="H208" s="48">
        <f>G208/F208</f>
        <v>0.7906237623762377</v>
      </c>
      <c r="I208" s="48">
        <f>G208/G$210</f>
        <v>0.010463334694760549</v>
      </c>
    </row>
    <row r="209" spans="6:9" ht="12.75">
      <c r="F209" s="5"/>
      <c r="G209" s="5"/>
      <c r="I209" s="48"/>
    </row>
    <row r="210" spans="2:9" s="1" customFormat="1" ht="15">
      <c r="B210" s="1" t="s">
        <v>20</v>
      </c>
      <c r="D210" s="15"/>
      <c r="F210" s="4">
        <f>F205+F191+F177+F153+F141+F114+F109+F104+F90+F84+F46+F43+F38+F35</f>
        <v>18262482</v>
      </c>
      <c r="G210" s="4">
        <f>G205+G191+G177+G153+G141+G114+G109+G104+G90+G84+G46+G43+G38+G35</f>
        <v>7631697</v>
      </c>
      <c r="H210" s="51">
        <f>G210/F210</f>
        <v>0.41788936465481524</v>
      </c>
      <c r="I210" s="51">
        <f>G210/G$210</f>
        <v>1</v>
      </c>
    </row>
    <row r="211" spans="4:9" s="1" customFormat="1" ht="15">
      <c r="D211" s="15"/>
      <c r="F211" s="4"/>
      <c r="G211" s="4"/>
      <c r="H211" s="43"/>
      <c r="I211" s="48"/>
    </row>
    <row r="212" spans="4:9" s="1" customFormat="1" ht="15">
      <c r="D212" s="15"/>
      <c r="F212" s="4"/>
      <c r="G212" s="4"/>
      <c r="H212" s="43"/>
      <c r="I212" s="48"/>
    </row>
    <row r="213" spans="4:9" s="1" customFormat="1" ht="15">
      <c r="D213" s="15"/>
      <c r="F213" s="4"/>
      <c r="G213" s="4"/>
      <c r="H213" s="43"/>
      <c r="I213" s="48"/>
    </row>
    <row r="214" spans="4:9" s="1" customFormat="1" ht="15">
      <c r="D214" s="15"/>
      <c r="F214" s="4"/>
      <c r="G214" s="4"/>
      <c r="H214" s="43"/>
      <c r="I214" s="48"/>
    </row>
    <row r="215" spans="4:9" s="1" customFormat="1" ht="15">
      <c r="D215" s="15"/>
      <c r="F215" s="4"/>
      <c r="G215" s="4"/>
      <c r="H215" s="43"/>
      <c r="I215" s="48"/>
    </row>
    <row r="216" spans="4:9" s="1" customFormat="1" ht="15">
      <c r="D216" s="15"/>
      <c r="F216" s="4"/>
      <c r="G216" s="4"/>
      <c r="H216" s="43"/>
      <c r="I216" s="48"/>
    </row>
    <row r="217" spans="4:9" s="1" customFormat="1" ht="15">
      <c r="D217" s="15"/>
      <c r="F217" s="4"/>
      <c r="G217" s="4"/>
      <c r="H217" s="43"/>
      <c r="I217" s="48"/>
    </row>
    <row r="218" spans="4:9" s="1" customFormat="1" ht="15">
      <c r="D218" s="15"/>
      <c r="F218" s="4"/>
      <c r="G218" s="4"/>
      <c r="H218" s="43"/>
      <c r="I218" s="48"/>
    </row>
    <row r="219" spans="4:9" s="1" customFormat="1" ht="15">
      <c r="D219" s="15"/>
      <c r="F219" s="4"/>
      <c r="G219" s="4"/>
      <c r="H219" s="43"/>
      <c r="I219" s="48"/>
    </row>
    <row r="220" spans="4:9" s="1" customFormat="1" ht="15">
      <c r="D220" s="15"/>
      <c r="F220" s="4"/>
      <c r="G220" s="4"/>
      <c r="H220" s="43"/>
      <c r="I220" s="48"/>
    </row>
    <row r="221" spans="4:9" s="1" customFormat="1" ht="15">
      <c r="D221" s="15"/>
      <c r="F221" s="4"/>
      <c r="G221" s="4"/>
      <c r="H221" s="43"/>
      <c r="I221" s="48"/>
    </row>
    <row r="222" spans="1:9" ht="14.25">
      <c r="A222" s="2" t="s">
        <v>21</v>
      </c>
      <c r="F222" s="5"/>
      <c r="G222" s="5"/>
      <c r="H222" s="43"/>
      <c r="I222" s="48"/>
    </row>
    <row r="223" spans="6:9" ht="12.75">
      <c r="F223" s="5"/>
      <c r="G223" s="5"/>
      <c r="H223" s="43"/>
      <c r="I223" s="48"/>
    </row>
    <row r="224" spans="1:9" s="14" customFormat="1" ht="15">
      <c r="A224" s="7" t="s">
        <v>73</v>
      </c>
      <c r="B224" s="7"/>
      <c r="C224" s="7"/>
      <c r="D224" s="16"/>
      <c r="E224" s="7"/>
      <c r="F224" s="12">
        <f>F226+F229+F233+F236+F243+F250+F265+F270+F278+F282+F289+F404+F409+F419+F431+F446+F454</f>
        <v>14083479</v>
      </c>
      <c r="G224" s="12">
        <f>G226+G229+G233+G236+G243+G250+G265+G270+G278+G282+G289+G404+G409+G419+G431+G446+G454</f>
        <v>6360816</v>
      </c>
      <c r="H224" s="53">
        <f aca="true" t="shared" si="6" ref="H224:H289">G224/F224</f>
        <v>0.4516509024510208</v>
      </c>
      <c r="I224" s="53">
        <f>G224/G$528</f>
        <v>0.9821921755267257</v>
      </c>
    </row>
    <row r="225" spans="1:9" ht="12.75">
      <c r="A225" s="3" t="s">
        <v>14</v>
      </c>
      <c r="F225" s="5"/>
      <c r="G225" s="5"/>
      <c r="I225" s="52"/>
    </row>
    <row r="226" spans="1:9" s="21" customFormat="1" ht="12.75">
      <c r="A226" s="21" t="s">
        <v>134</v>
      </c>
      <c r="B226" s="21" t="s">
        <v>35</v>
      </c>
      <c r="D226" s="22"/>
      <c r="F226" s="24">
        <f>SUM(F227)</f>
        <v>240</v>
      </c>
      <c r="G226" s="24">
        <f>SUM(G227)</f>
        <v>214</v>
      </c>
      <c r="H226" s="51">
        <f t="shared" si="6"/>
        <v>0.8916666666666667</v>
      </c>
      <c r="I226" s="54">
        <f>G226/G$528</f>
        <v>3.304436499384973E-05</v>
      </c>
    </row>
    <row r="227" spans="1:9" ht="12.75">
      <c r="A227" s="3"/>
      <c r="B227" t="s">
        <v>184</v>
      </c>
      <c r="F227" s="5">
        <v>240</v>
      </c>
      <c r="G227" s="5">
        <v>214</v>
      </c>
      <c r="H227" s="48">
        <f t="shared" si="6"/>
        <v>0.8916666666666667</v>
      </c>
      <c r="I227" s="52">
        <f>G227/G$528</f>
        <v>3.304436499384973E-05</v>
      </c>
    </row>
    <row r="228" spans="1:9" ht="12.75">
      <c r="A228" s="3"/>
      <c r="F228" s="5"/>
      <c r="G228" s="5"/>
      <c r="I228" s="52"/>
    </row>
    <row r="229" spans="1:9" s="3" customFormat="1" ht="12.75">
      <c r="A229" s="3" t="s">
        <v>71</v>
      </c>
      <c r="B229" s="3" t="s">
        <v>72</v>
      </c>
      <c r="D229" s="10"/>
      <c r="F229" s="4">
        <f>SUM(F230:F231)</f>
        <v>296000</v>
      </c>
      <c r="G229" s="4">
        <f>SUM(G230:G231)</f>
        <v>22720</v>
      </c>
      <c r="H229" s="51">
        <f t="shared" si="6"/>
        <v>0.07675675675675675</v>
      </c>
      <c r="I229" s="54">
        <f>G229/G$528</f>
        <v>0.003508261554487224</v>
      </c>
    </row>
    <row r="230" spans="2:9" s="3" customFormat="1" ht="12.75">
      <c r="B230" t="s">
        <v>185</v>
      </c>
      <c r="D230" s="10"/>
      <c r="F230" s="25">
        <v>0</v>
      </c>
      <c r="G230" s="25">
        <v>0</v>
      </c>
      <c r="H230" s="48"/>
      <c r="I230" s="52"/>
    </row>
    <row r="231" spans="2:9" ht="12.75">
      <c r="B231" t="s">
        <v>186</v>
      </c>
      <c r="F231" s="11">
        <f>356000-60000</f>
        <v>296000</v>
      </c>
      <c r="G231" s="11">
        <v>22720</v>
      </c>
      <c r="H231" s="48">
        <f t="shared" si="6"/>
        <v>0.07675675675675675</v>
      </c>
      <c r="I231" s="52">
        <f>G231/G$528</f>
        <v>0.003508261554487224</v>
      </c>
    </row>
    <row r="232" spans="6:9" ht="12.75">
      <c r="F232" s="11"/>
      <c r="G232" s="11"/>
      <c r="I232" s="52"/>
    </row>
    <row r="233" spans="1:9" s="3" customFormat="1" ht="12.75">
      <c r="A233" s="3" t="s">
        <v>36</v>
      </c>
      <c r="B233" s="3" t="s">
        <v>74</v>
      </c>
      <c r="D233" s="10"/>
      <c r="F233" s="4">
        <f>SUM(F234:F234)</f>
        <v>65000</v>
      </c>
      <c r="G233" s="4">
        <f>SUM(G234:G234)</f>
        <v>9178</v>
      </c>
      <c r="H233" s="51">
        <f t="shared" si="6"/>
        <v>0.1412</v>
      </c>
      <c r="I233" s="54">
        <f>G233/G$528</f>
        <v>0.0014172017846427703</v>
      </c>
    </row>
    <row r="234" spans="2:9" ht="12.75">
      <c r="B234" t="s">
        <v>289</v>
      </c>
      <c r="F234" s="5">
        <f>327000-262000</f>
        <v>65000</v>
      </c>
      <c r="G234" s="5">
        <v>9178</v>
      </c>
      <c r="H234" s="48">
        <f t="shared" si="6"/>
        <v>0.1412</v>
      </c>
      <c r="I234" s="52">
        <f>G234/G$528</f>
        <v>0.0014172017846427703</v>
      </c>
    </row>
    <row r="235" spans="6:9" ht="12.75">
      <c r="F235" s="11"/>
      <c r="G235" s="11"/>
      <c r="I235" s="52"/>
    </row>
    <row r="236" spans="1:9" s="3" customFormat="1" ht="14.25" customHeight="1">
      <c r="A236" s="3" t="s">
        <v>38</v>
      </c>
      <c r="B236" s="3" t="s">
        <v>22</v>
      </c>
      <c r="D236" s="10"/>
      <c r="F236" s="4">
        <f>SUM(F238:F241)</f>
        <v>314800</v>
      </c>
      <c r="G236" s="4">
        <f>SUM(G238:G241)</f>
        <v>44185</v>
      </c>
      <c r="H236" s="51">
        <f t="shared" si="6"/>
        <v>0.14035895806861498</v>
      </c>
      <c r="I236" s="54">
        <f>G236/G$528</f>
        <v>0.006822734893706778</v>
      </c>
    </row>
    <row r="237" spans="2:9" ht="12.75">
      <c r="B237" t="s">
        <v>313</v>
      </c>
      <c r="F237" s="5"/>
      <c r="G237" s="5"/>
      <c r="I237" s="52">
        <f>G237/G$528</f>
        <v>0</v>
      </c>
    </row>
    <row r="238" spans="2:9" ht="12.75">
      <c r="B238" t="s">
        <v>75</v>
      </c>
      <c r="F238" s="5">
        <v>141000</v>
      </c>
      <c r="G238" s="5">
        <v>15214</v>
      </c>
      <c r="H238" s="48">
        <f t="shared" si="6"/>
        <v>0.10790070921985816</v>
      </c>
      <c r="I238" s="52">
        <f>G238/G$528</f>
        <v>0.002349238172973971</v>
      </c>
    </row>
    <row r="239" spans="2:9" ht="12.75">
      <c r="B239" t="s">
        <v>290</v>
      </c>
      <c r="F239" s="5">
        <v>35000</v>
      </c>
      <c r="G239" s="5">
        <v>21336</v>
      </c>
      <c r="H239" s="48">
        <f>G239/F239</f>
        <v>0.6096</v>
      </c>
      <c r="I239" s="52">
        <f>G239/G$528</f>
        <v>0.003294554072470925</v>
      </c>
    </row>
    <row r="240" spans="2:9" ht="12.75">
      <c r="B240" t="s">
        <v>292</v>
      </c>
      <c r="F240" s="5"/>
      <c r="G240" s="5"/>
      <c r="I240" s="52"/>
    </row>
    <row r="241" spans="2:9" ht="12.75">
      <c r="B241" s="56" t="s">
        <v>291</v>
      </c>
      <c r="F241" s="5">
        <f>323800-170000-15000</f>
        <v>138800</v>
      </c>
      <c r="G241" s="5">
        <v>7635</v>
      </c>
      <c r="H241" s="48">
        <f>G241/F241</f>
        <v>0.05500720461095101</v>
      </c>
      <c r="I241" s="52">
        <f>G241/G$528</f>
        <v>0.0011789426482618818</v>
      </c>
    </row>
    <row r="242" spans="6:9" ht="12.75">
      <c r="F242" s="5"/>
      <c r="G242" s="5"/>
      <c r="I242" s="52"/>
    </row>
    <row r="243" spans="1:9" s="21" customFormat="1" ht="12.75">
      <c r="A243" s="21" t="s">
        <v>76</v>
      </c>
      <c r="B243" s="21" t="s">
        <v>77</v>
      </c>
      <c r="D243" s="22"/>
      <c r="F243" s="24">
        <f>SUM(F244:F248)</f>
        <v>441521</v>
      </c>
      <c r="G243" s="24">
        <f>SUM(G244:G248)</f>
        <v>59141</v>
      </c>
      <c r="H243" s="51">
        <f t="shared" si="6"/>
        <v>0.1339483286185708</v>
      </c>
      <c r="I243" s="54">
        <f>G243/G$528</f>
        <v>0.00913213453318349</v>
      </c>
    </row>
    <row r="244" spans="2:9" ht="12.75">
      <c r="B244" t="s">
        <v>78</v>
      </c>
      <c r="F244" s="5">
        <v>276000</v>
      </c>
      <c r="G244" s="5">
        <v>7791</v>
      </c>
      <c r="H244" s="48">
        <f t="shared" si="6"/>
        <v>0.028228260869565217</v>
      </c>
      <c r="I244" s="52">
        <f>G244/G$528</f>
        <v>0.001203031063864875</v>
      </c>
    </row>
    <row r="245" spans="2:9" ht="12.75">
      <c r="B245" t="s">
        <v>375</v>
      </c>
      <c r="F245" s="5"/>
      <c r="G245" s="5"/>
      <c r="I245" s="52"/>
    </row>
    <row r="246" spans="2:9" ht="12.75">
      <c r="B246" t="s">
        <v>79</v>
      </c>
      <c r="F246" s="5"/>
      <c r="G246" s="5"/>
      <c r="I246" s="52"/>
    </row>
    <row r="247" spans="2:9" ht="12.75">
      <c r="B247" t="s">
        <v>80</v>
      </c>
      <c r="F247" s="5">
        <v>87021</v>
      </c>
      <c r="G247" s="5">
        <v>7592</v>
      </c>
      <c r="H247" s="48">
        <f t="shared" si="6"/>
        <v>0.0872433090863125</v>
      </c>
      <c r="I247" s="52">
        <f>G247/G$528</f>
        <v>0.0011723028926790054</v>
      </c>
    </row>
    <row r="248" spans="2:9" ht="12.75">
      <c r="B248" t="s">
        <v>376</v>
      </c>
      <c r="F248" s="5">
        <v>78500</v>
      </c>
      <c r="G248" s="5">
        <v>43758</v>
      </c>
      <c r="H248" s="48">
        <f t="shared" si="6"/>
        <v>0.5574267515923567</v>
      </c>
      <c r="I248" s="52">
        <f>G248/G$528</f>
        <v>0.0067568005766396105</v>
      </c>
    </row>
    <row r="249" spans="6:9" ht="12.75">
      <c r="F249" s="5"/>
      <c r="G249" s="5"/>
      <c r="I249" s="52"/>
    </row>
    <row r="250" spans="1:9" s="3" customFormat="1" ht="12.75">
      <c r="A250" s="3" t="s">
        <v>46</v>
      </c>
      <c r="B250" s="3" t="s">
        <v>81</v>
      </c>
      <c r="D250" s="10"/>
      <c r="F250" s="4">
        <f>SUM(F251:F263)</f>
        <v>2829930</v>
      </c>
      <c r="G250" s="4">
        <f>SUM(G251:G263)</f>
        <v>1349232</v>
      </c>
      <c r="H250" s="51">
        <f t="shared" si="6"/>
        <v>0.47677221698063205</v>
      </c>
      <c r="I250" s="54">
        <f aca="true" t="shared" si="7" ref="I250:I261">G250/G$528</f>
        <v>0.20833885359524235</v>
      </c>
    </row>
    <row r="251" spans="2:10" ht="12.75">
      <c r="B251" t="s">
        <v>31</v>
      </c>
      <c r="F251" s="5">
        <v>123490</v>
      </c>
      <c r="G251" s="5">
        <v>44664</v>
      </c>
      <c r="H251" s="48">
        <f t="shared" si="6"/>
        <v>0.36168110778200663</v>
      </c>
      <c r="I251" s="52">
        <f t="shared" si="7"/>
        <v>0.00689669868264161</v>
      </c>
      <c r="J251" s="8"/>
    </row>
    <row r="252" spans="2:10" ht="12.75">
      <c r="B252" t="s">
        <v>377</v>
      </c>
      <c r="F252" s="5">
        <v>120100</v>
      </c>
      <c r="G252" s="5">
        <v>57050</v>
      </c>
      <c r="H252" s="48">
        <f t="shared" si="6"/>
        <v>0.4750208159866778</v>
      </c>
      <c r="I252" s="52">
        <f t="shared" si="7"/>
        <v>0.008809257116351062</v>
      </c>
      <c r="J252" s="8"/>
    </row>
    <row r="253" spans="2:10" ht="12.75">
      <c r="B253" t="s">
        <v>379</v>
      </c>
      <c r="F253" s="5">
        <f>2318740-15000</f>
        <v>2303740</v>
      </c>
      <c r="G253" s="5">
        <v>1133765</v>
      </c>
      <c r="H253" s="48">
        <f t="shared" si="6"/>
        <v>0.4921410402215528</v>
      </c>
      <c r="I253" s="52">
        <f t="shared" si="7"/>
        <v>0.17506796484697215</v>
      </c>
      <c r="J253" s="8"/>
    </row>
    <row r="254" spans="2:10" ht="12.75">
      <c r="B254" t="s">
        <v>378</v>
      </c>
      <c r="F254" s="5">
        <v>500</v>
      </c>
      <c r="G254" s="5">
        <v>369</v>
      </c>
      <c r="H254" s="48">
        <f t="shared" si="6"/>
        <v>0.738</v>
      </c>
      <c r="I254" s="52">
        <f t="shared" si="7"/>
        <v>5.697836767631099E-05</v>
      </c>
      <c r="J254" s="8"/>
    </row>
    <row r="255" spans="2:10" ht="12.75">
      <c r="B255" t="s">
        <v>380</v>
      </c>
      <c r="F255" s="5">
        <v>100000</v>
      </c>
      <c r="G255" s="5">
        <v>65000</v>
      </c>
      <c r="H255" s="48">
        <f t="shared" si="6"/>
        <v>0.65</v>
      </c>
      <c r="I255" s="52">
        <f t="shared" si="7"/>
        <v>0.010036839834580527</v>
      </c>
      <c r="J255" s="8"/>
    </row>
    <row r="256" spans="2:10" ht="12.75">
      <c r="B256" t="s">
        <v>381</v>
      </c>
      <c r="F256" s="5">
        <v>86400</v>
      </c>
      <c r="G256" s="5">
        <v>15355</v>
      </c>
      <c r="H256" s="48">
        <f t="shared" si="6"/>
        <v>0.1777199074074074</v>
      </c>
      <c r="I256" s="52">
        <f t="shared" si="7"/>
        <v>0.002371010394768984</v>
      </c>
      <c r="J256" s="8"/>
    </row>
    <row r="257" spans="2:9" ht="12.75">
      <c r="B257" t="s">
        <v>382</v>
      </c>
      <c r="F257" s="5"/>
      <c r="G257" s="5"/>
      <c r="I257" s="52">
        <f t="shared" si="7"/>
        <v>0</v>
      </c>
    </row>
    <row r="258" spans="2:9" ht="12.75">
      <c r="B258" t="s">
        <v>29</v>
      </c>
      <c r="F258" s="5">
        <v>4700</v>
      </c>
      <c r="G258" s="5">
        <v>4050</v>
      </c>
      <c r="H258" s="48">
        <f t="shared" si="6"/>
        <v>0.8617021276595744</v>
      </c>
      <c r="I258" s="52">
        <f t="shared" si="7"/>
        <v>0.0006253723281546328</v>
      </c>
    </row>
    <row r="259" spans="2:9" ht="12.75">
      <c r="B259" t="s">
        <v>187</v>
      </c>
      <c r="F259" s="5">
        <v>4300</v>
      </c>
      <c r="G259" s="5">
        <v>2004</v>
      </c>
      <c r="H259" s="48">
        <f t="shared" si="6"/>
        <v>0.466046511627907</v>
      </c>
      <c r="I259" s="52">
        <f t="shared" si="7"/>
        <v>0.00030944349274614425</v>
      </c>
    </row>
    <row r="260" spans="2:9" ht="12.75">
      <c r="B260" t="s">
        <v>30</v>
      </c>
      <c r="F260" s="5">
        <v>900</v>
      </c>
      <c r="G260" s="5">
        <v>826</v>
      </c>
      <c r="H260" s="48">
        <f t="shared" si="6"/>
        <v>0.9177777777777778</v>
      </c>
      <c r="I260" s="52">
        <f t="shared" si="7"/>
        <v>0.00012754507235943868</v>
      </c>
    </row>
    <row r="261" spans="2:9" ht="12.75">
      <c r="B261" t="s">
        <v>383</v>
      </c>
      <c r="F261" s="5">
        <f>23500+5000+15900+400</f>
        <v>44800</v>
      </c>
      <c r="G261" s="5">
        <f>7625+831+10168+127</f>
        <v>18751</v>
      </c>
      <c r="H261" s="48">
        <f t="shared" si="6"/>
        <v>0.41854910714285715</v>
      </c>
      <c r="I261" s="52">
        <f t="shared" si="7"/>
        <v>0.002895396672895684</v>
      </c>
    </row>
    <row r="262" spans="2:9" ht="12.75">
      <c r="B262" t="s">
        <v>384</v>
      </c>
      <c r="F262" s="5"/>
      <c r="G262" s="5"/>
      <c r="I262" s="52"/>
    </row>
    <row r="263" spans="2:9" ht="12.75">
      <c r="B263" t="s">
        <v>385</v>
      </c>
      <c r="F263" s="5">
        <f>30000+9500+1500</f>
        <v>41000</v>
      </c>
      <c r="G263" s="5">
        <f>6780+534+84</f>
        <v>7398</v>
      </c>
      <c r="H263" s="48">
        <f t="shared" si="6"/>
        <v>0.1804390243902439</v>
      </c>
      <c r="I263" s="52">
        <f>G263/G$528</f>
        <v>0.001142346786095796</v>
      </c>
    </row>
    <row r="264" spans="6:9" ht="12.75">
      <c r="F264" s="5"/>
      <c r="G264" s="5"/>
      <c r="I264" s="52"/>
    </row>
    <row r="265" spans="1:9" s="3" customFormat="1" ht="12.75">
      <c r="A265" s="3" t="s">
        <v>51</v>
      </c>
      <c r="B265" s="3" t="s">
        <v>82</v>
      </c>
      <c r="D265" s="10"/>
      <c r="F265" s="4">
        <f>SUM(F266:F268)</f>
        <v>14462</v>
      </c>
      <c r="G265" s="4">
        <f>SUM(G266:G268)</f>
        <v>13667</v>
      </c>
      <c r="H265" s="51">
        <f t="shared" si="6"/>
        <v>0.9450283501590375</v>
      </c>
      <c r="I265" s="54">
        <f>G265/G$528</f>
        <v>0.0021103613849109545</v>
      </c>
    </row>
    <row r="266" spans="2:10" ht="12.75">
      <c r="B266" t="s">
        <v>321</v>
      </c>
      <c r="F266" s="5">
        <v>1040</v>
      </c>
      <c r="G266" s="5">
        <v>245</v>
      </c>
      <c r="H266" s="48">
        <f t="shared" si="6"/>
        <v>0.23557692307692307</v>
      </c>
      <c r="I266" s="52">
        <f>G266/G$528</f>
        <v>3.783116553034199E-05</v>
      </c>
      <c r="J266" s="8"/>
    </row>
    <row r="267" spans="2:10" ht="12.75">
      <c r="B267" t="s">
        <v>322</v>
      </c>
      <c r="F267" s="5">
        <v>3950</v>
      </c>
      <c r="G267" s="5">
        <v>3950</v>
      </c>
      <c r="H267" s="48">
        <f>G267/F267</f>
        <v>1</v>
      </c>
      <c r="I267" s="52">
        <f>G267/G$528</f>
        <v>0.000609931036101432</v>
      </c>
      <c r="J267" s="8"/>
    </row>
    <row r="268" spans="2:9" ht="12.75">
      <c r="B268" t="s">
        <v>386</v>
      </c>
      <c r="F268" s="5">
        <v>9472</v>
      </c>
      <c r="G268" s="5">
        <v>9472</v>
      </c>
      <c r="H268" s="48">
        <f>G268/F268</f>
        <v>1</v>
      </c>
      <c r="I268" s="52">
        <f>G268/G$528</f>
        <v>0.0014625991832791807</v>
      </c>
    </row>
    <row r="269" spans="6:9" ht="12.75">
      <c r="F269" s="5"/>
      <c r="G269" s="5"/>
      <c r="I269" s="52"/>
    </row>
    <row r="270" spans="1:9" s="21" customFormat="1" ht="12.75">
      <c r="A270" s="21" t="s">
        <v>53</v>
      </c>
      <c r="B270" s="27" t="s">
        <v>83</v>
      </c>
      <c r="D270" s="22"/>
      <c r="F270" s="24">
        <f>SUM(F271:F275)</f>
        <v>353930</v>
      </c>
      <c r="G270" s="24">
        <f>SUM(G271:G275)</f>
        <v>149429</v>
      </c>
      <c r="H270" s="51">
        <f t="shared" si="6"/>
        <v>0.42219930494730595</v>
      </c>
      <c r="I270" s="54">
        <f>G270/G$528</f>
        <v>0.023073768302177437</v>
      </c>
    </row>
    <row r="271" spans="2:9" ht="12.75">
      <c r="B271" t="s">
        <v>85</v>
      </c>
      <c r="F271" s="5">
        <v>30000</v>
      </c>
      <c r="G271" s="5">
        <v>0</v>
      </c>
      <c r="I271" s="52"/>
    </row>
    <row r="272" spans="2:9" ht="12.75">
      <c r="B272" t="s">
        <v>84</v>
      </c>
      <c r="F272" s="5">
        <v>4000</v>
      </c>
      <c r="G272" s="5">
        <v>0</v>
      </c>
      <c r="I272" s="52"/>
    </row>
    <row r="273" spans="2:9" ht="12.75">
      <c r="B273" t="s">
        <v>86</v>
      </c>
      <c r="F273" s="5">
        <v>48730</v>
      </c>
      <c r="G273" s="5">
        <v>22899</v>
      </c>
      <c r="H273" s="48">
        <f t="shared" si="6"/>
        <v>0.46991586291812026</v>
      </c>
      <c r="I273" s="52">
        <f>G273/G$528</f>
        <v>0.0035359014672624533</v>
      </c>
    </row>
    <row r="274" spans="2:9" ht="12.75">
      <c r="B274" t="s">
        <v>87</v>
      </c>
      <c r="F274" s="5">
        <v>3100</v>
      </c>
      <c r="G274" s="5">
        <v>429</v>
      </c>
      <c r="H274" s="48">
        <f t="shared" si="6"/>
        <v>0.13838709677419356</v>
      </c>
      <c r="I274" s="52">
        <f>G274/G$528</f>
        <v>6.624314290823147E-05</v>
      </c>
    </row>
    <row r="275" spans="2:9" ht="12.75">
      <c r="B275" t="s">
        <v>88</v>
      </c>
      <c r="F275" s="5">
        <v>268100</v>
      </c>
      <c r="G275" s="5">
        <v>126101</v>
      </c>
      <c r="H275" s="48">
        <f t="shared" si="6"/>
        <v>0.47035061544199924</v>
      </c>
      <c r="I275" s="52">
        <f>G275/G$528</f>
        <v>0.019471623692006754</v>
      </c>
    </row>
    <row r="276" spans="6:9" ht="12.75">
      <c r="F276" s="5"/>
      <c r="G276" s="5"/>
      <c r="I276" s="52"/>
    </row>
    <row r="277" spans="6:9" ht="12.75">
      <c r="F277" s="5"/>
      <c r="G277" s="5"/>
      <c r="I277" s="52"/>
    </row>
    <row r="278" spans="1:9" s="21" customFormat="1" ht="12.75">
      <c r="A278" s="21" t="s">
        <v>89</v>
      </c>
      <c r="B278" s="21" t="s">
        <v>90</v>
      </c>
      <c r="D278" s="22"/>
      <c r="F278" s="24">
        <f>SUM(F279:F280)</f>
        <v>323900</v>
      </c>
      <c r="G278" s="24">
        <f>SUM(G279:G280)</f>
        <v>89426</v>
      </c>
      <c r="H278" s="51">
        <f t="shared" si="6"/>
        <v>0.276091386230318</v>
      </c>
      <c r="I278" s="54">
        <f>G278/G$528</f>
        <v>0.013808529831495357</v>
      </c>
    </row>
    <row r="279" spans="2:9" ht="12.75">
      <c r="B279" t="s">
        <v>188</v>
      </c>
      <c r="F279" s="5">
        <v>17700</v>
      </c>
      <c r="G279" s="5">
        <v>6200</v>
      </c>
      <c r="H279" s="48">
        <f t="shared" si="6"/>
        <v>0.3502824858757062</v>
      </c>
      <c r="I279" s="52">
        <f>G279/G$528</f>
        <v>0.0009573601072984503</v>
      </c>
    </row>
    <row r="280" spans="2:9" ht="12.75">
      <c r="B280" t="s">
        <v>91</v>
      </c>
      <c r="F280" s="5">
        <v>306200</v>
      </c>
      <c r="G280" s="5">
        <v>83226</v>
      </c>
      <c r="H280" s="48">
        <f t="shared" si="6"/>
        <v>0.2718027433050294</v>
      </c>
      <c r="I280" s="52">
        <f>G280/G$528</f>
        <v>0.012851169724196906</v>
      </c>
    </row>
    <row r="281" spans="6:9" ht="12.75">
      <c r="F281" s="5"/>
      <c r="G281" s="5"/>
      <c r="I281" s="52"/>
    </row>
    <row r="282" spans="1:9" s="21" customFormat="1" ht="12.75">
      <c r="A282" s="21" t="s">
        <v>61</v>
      </c>
      <c r="B282" s="21" t="s">
        <v>92</v>
      </c>
      <c r="D282" s="22"/>
      <c r="F282" s="24">
        <f>SUM(F283:F287)</f>
        <v>115189</v>
      </c>
      <c r="G282" s="24">
        <f>SUM(G283:G287)</f>
        <v>15744</v>
      </c>
      <c r="H282" s="48">
        <f t="shared" si="6"/>
        <v>0.13667971768137582</v>
      </c>
      <c r="I282" s="52">
        <f>G282/G$528</f>
        <v>0.0024310770208559357</v>
      </c>
    </row>
    <row r="283" spans="2:9" s="21" customFormat="1" ht="12.75">
      <c r="B283" s="20" t="s">
        <v>456</v>
      </c>
      <c r="C283" s="20"/>
      <c r="D283" s="28"/>
      <c r="E283" s="20"/>
      <c r="F283" s="25">
        <v>31489</v>
      </c>
      <c r="G283" s="25">
        <v>15744</v>
      </c>
      <c r="H283" s="48">
        <f t="shared" si="6"/>
        <v>0.49998412143923276</v>
      </c>
      <c r="I283" s="52">
        <f>G283/G$528</f>
        <v>0.0024310770208559357</v>
      </c>
    </row>
    <row r="284" spans="2:9" ht="12.75">
      <c r="B284" t="s">
        <v>457</v>
      </c>
      <c r="F284" s="5"/>
      <c r="G284" s="5"/>
      <c r="I284" s="52"/>
    </row>
    <row r="285" spans="2:9" ht="12.75">
      <c r="B285" t="s">
        <v>24</v>
      </c>
      <c r="F285" s="5"/>
      <c r="G285" s="5"/>
      <c r="I285" s="52"/>
    </row>
    <row r="286" spans="2:9" ht="12.75">
      <c r="B286" t="s">
        <v>93</v>
      </c>
      <c r="F286" s="5">
        <v>79450</v>
      </c>
      <c r="G286" s="5">
        <v>0</v>
      </c>
      <c r="I286" s="52"/>
    </row>
    <row r="287" spans="2:9" ht="12.75">
      <c r="B287" t="s">
        <v>94</v>
      </c>
      <c r="F287" s="5">
        <v>4250</v>
      </c>
      <c r="G287" s="5">
        <v>0</v>
      </c>
      <c r="I287" s="52"/>
    </row>
    <row r="288" spans="6:9" ht="12.75">
      <c r="F288" s="5"/>
      <c r="G288" s="5"/>
      <c r="I288" s="52"/>
    </row>
    <row r="289" spans="1:9" s="3" customFormat="1" ht="12.75">
      <c r="A289" s="3" t="s">
        <v>62</v>
      </c>
      <c r="B289" s="3" t="s">
        <v>4</v>
      </c>
      <c r="D289" s="10"/>
      <c r="F289" s="4">
        <f>F291+F320+F354+F356+F387+F389+F391+F394+F397+F398+F402</f>
        <v>4577735</v>
      </c>
      <c r="G289" s="4">
        <f>G291+G320+G354+G356+G387+G389+G391+G394+G397+G398+G402</f>
        <v>2267030</v>
      </c>
      <c r="H289" s="51">
        <f t="shared" si="6"/>
        <v>0.49522962775258944</v>
      </c>
      <c r="I289" s="54">
        <f>G289/G$528</f>
        <v>0.3500587232336783</v>
      </c>
    </row>
    <row r="290" spans="4:9" s="3" customFormat="1" ht="12.75">
      <c r="D290" s="10"/>
      <c r="F290" s="4"/>
      <c r="G290" s="4"/>
      <c r="H290" s="48"/>
      <c r="I290" s="52"/>
    </row>
    <row r="291" spans="2:9" s="45" customFormat="1" ht="12.75">
      <c r="B291" s="45" t="s">
        <v>23</v>
      </c>
      <c r="D291" s="46"/>
      <c r="F291" s="47">
        <f>9900+1304+1193200+88652+227900+31200+134381+76800+11100+35700+42248+154000+5000+3000+68800</f>
        <v>2083185</v>
      </c>
      <c r="G291" s="47">
        <f>1755+1141+565431+88651+118275+15868+60531+35179+2067+18808+18729+59100+224+147+51000</f>
        <v>1036906</v>
      </c>
      <c r="H291" s="50">
        <f>G291/F291</f>
        <v>0.4977503198227714</v>
      </c>
      <c r="I291" s="55">
        <f>G291/G$528</f>
        <v>0.1601116837771624</v>
      </c>
    </row>
    <row r="292" spans="4:9" s="45" customFormat="1" ht="12.75">
      <c r="D292" s="46"/>
      <c r="F292" s="47"/>
      <c r="G292" s="47"/>
      <c r="H292" s="48"/>
      <c r="I292" s="52"/>
    </row>
    <row r="293" spans="2:9" s="8" customFormat="1" ht="12.75">
      <c r="B293" s="8" t="s">
        <v>189</v>
      </c>
      <c r="D293" s="13"/>
      <c r="F293" s="11"/>
      <c r="G293" s="11"/>
      <c r="H293" s="48"/>
      <c r="I293" s="52"/>
    </row>
    <row r="294" spans="2:9" s="8" customFormat="1" ht="12.75">
      <c r="B294" s="8" t="s">
        <v>190</v>
      </c>
      <c r="D294" s="13"/>
      <c r="F294" s="11"/>
      <c r="G294" s="11"/>
      <c r="H294" s="48"/>
      <c r="I294" s="52"/>
    </row>
    <row r="295" spans="2:9" s="8" customFormat="1" ht="12.75">
      <c r="B295" s="8" t="s">
        <v>323</v>
      </c>
      <c r="D295" s="13"/>
      <c r="F295" s="11">
        <f>1202233-57440</f>
        <v>1144793</v>
      </c>
      <c r="G295" s="11">
        <f>645408-51000</f>
        <v>594408</v>
      </c>
      <c r="H295" s="48">
        <f>G295/F295</f>
        <v>0.5192274935293979</v>
      </c>
      <c r="I295" s="52">
        <f>G295/G$528</f>
        <v>0.09178427526758987</v>
      </c>
    </row>
    <row r="296" spans="2:9" s="8" customFormat="1" ht="12.75">
      <c r="B296" s="8" t="s">
        <v>191</v>
      </c>
      <c r="D296" s="13"/>
      <c r="F296" s="11"/>
      <c r="G296" s="11"/>
      <c r="H296" s="48"/>
      <c r="I296" s="52"/>
    </row>
    <row r="297" spans="2:9" s="8" customFormat="1" ht="12.75">
      <c r="B297" s="8" t="s">
        <v>245</v>
      </c>
      <c r="D297" s="13"/>
      <c r="F297" s="11">
        <f>340110-9380</f>
        <v>330730</v>
      </c>
      <c r="G297" s="11">
        <v>162879</v>
      </c>
      <c r="H297" s="48">
        <f>G297/F297</f>
        <v>0.4924832945302815</v>
      </c>
      <c r="I297" s="52">
        <f>G297/G$528</f>
        <v>0.025150622083332946</v>
      </c>
    </row>
    <row r="298" spans="2:9" s="8" customFormat="1" ht="12.75">
      <c r="B298" s="8" t="s">
        <v>192</v>
      </c>
      <c r="D298" s="13"/>
      <c r="F298" s="11"/>
      <c r="G298" s="11"/>
      <c r="H298" s="48"/>
      <c r="I298" s="52"/>
    </row>
    <row r="299" spans="2:9" s="8" customFormat="1" ht="12.75">
      <c r="B299" s="8" t="s">
        <v>324</v>
      </c>
      <c r="D299" s="13"/>
      <c r="F299" s="11">
        <f>67409-1980</f>
        <v>65429</v>
      </c>
      <c r="G299" s="11">
        <v>30939</v>
      </c>
      <c r="H299" s="48">
        <f>G299/F299</f>
        <v>0.47286371486649653</v>
      </c>
      <c r="I299" s="52">
        <f>G299/G$528</f>
        <v>0.004777381348339799</v>
      </c>
    </row>
    <row r="300" spans="2:9" s="8" customFormat="1" ht="12.75">
      <c r="B300" s="8" t="s">
        <v>193</v>
      </c>
      <c r="D300" s="13"/>
      <c r="F300" s="11">
        <v>2630</v>
      </c>
      <c r="G300" s="11">
        <v>1700</v>
      </c>
      <c r="H300" s="48">
        <f>G300/F300</f>
        <v>0.6463878326996197</v>
      </c>
      <c r="I300" s="52">
        <f>G300/G$528</f>
        <v>0.00026250196490441375</v>
      </c>
    </row>
    <row r="301" spans="2:9" s="8" customFormat="1" ht="12.75">
      <c r="B301" s="8" t="s">
        <v>325</v>
      </c>
      <c r="D301" s="13"/>
      <c r="F301" s="11">
        <v>68800</v>
      </c>
      <c r="G301" s="11">
        <v>51000</v>
      </c>
      <c r="H301" s="48">
        <f>G301/F301</f>
        <v>0.7412790697674418</v>
      </c>
      <c r="I301" s="52">
        <f>G301/G$528</f>
        <v>0.007875058947132413</v>
      </c>
    </row>
    <row r="302" spans="2:9" s="8" customFormat="1" ht="12.75">
      <c r="B302" s="8" t="s">
        <v>299</v>
      </c>
      <c r="D302" s="13"/>
      <c r="E302" s="8" t="s">
        <v>195</v>
      </c>
      <c r="F302" s="11">
        <f>134381+76800+11100+35700+42248+154000</f>
        <v>454229</v>
      </c>
      <c r="G302" s="11">
        <f>60531+35179+2067+18808+18729+59100</f>
        <v>194414</v>
      </c>
      <c r="H302" s="48">
        <f>G302/F302</f>
        <v>0.4280087797124358</v>
      </c>
      <c r="I302" s="52">
        <f>G302/G$528</f>
        <v>0.030020033532309823</v>
      </c>
    </row>
    <row r="303" spans="2:9" s="8" customFormat="1" ht="12.75">
      <c r="B303" s="8" t="s">
        <v>196</v>
      </c>
      <c r="D303" s="13"/>
      <c r="E303" s="13"/>
      <c r="F303" s="11"/>
      <c r="G303" s="11"/>
      <c r="H303" s="48"/>
      <c r="I303" s="52"/>
    </row>
    <row r="304" spans="2:9" s="8" customFormat="1" ht="12.75">
      <c r="B304" s="8" t="s">
        <v>197</v>
      </c>
      <c r="D304" s="13"/>
      <c r="E304" s="13">
        <f>37693+3072</f>
        <v>40765</v>
      </c>
      <c r="F304" s="11"/>
      <c r="G304" s="11"/>
      <c r="H304" s="48"/>
      <c r="I304" s="52"/>
    </row>
    <row r="305" spans="2:9" s="8" customFormat="1" ht="12.75">
      <c r="B305" s="8" t="s">
        <v>198</v>
      </c>
      <c r="D305" s="13"/>
      <c r="E305" s="13">
        <v>5701</v>
      </c>
      <c r="F305" s="11"/>
      <c r="G305" s="11"/>
      <c r="H305" s="48"/>
      <c r="I305" s="52"/>
    </row>
    <row r="306" spans="2:9" s="8" customFormat="1" ht="12.75">
      <c r="B306" s="8" t="s">
        <v>200</v>
      </c>
      <c r="D306" s="13"/>
      <c r="E306" s="13">
        <f>13284+1200</f>
        <v>14484</v>
      </c>
      <c r="F306" s="11"/>
      <c r="G306" s="11"/>
      <c r="H306" s="48"/>
      <c r="I306" s="52"/>
    </row>
    <row r="307" spans="2:9" s="8" customFormat="1" ht="12.75">
      <c r="B307" s="8" t="s">
        <v>201</v>
      </c>
      <c r="D307" s="13"/>
      <c r="E307" s="13">
        <f>3603+721</f>
        <v>4324</v>
      </c>
      <c r="F307" s="11"/>
      <c r="G307" s="11"/>
      <c r="H307" s="48"/>
      <c r="I307" s="52"/>
    </row>
    <row r="308" spans="2:9" s="8" customFormat="1" ht="12.75">
      <c r="B308" s="8" t="s">
        <v>202</v>
      </c>
      <c r="D308" s="13"/>
      <c r="E308" s="13">
        <v>18729</v>
      </c>
      <c r="F308" s="11"/>
      <c r="G308" s="11"/>
      <c r="H308" s="48"/>
      <c r="I308" s="52"/>
    </row>
    <row r="309" spans="2:9" s="8" customFormat="1" ht="12.75">
      <c r="B309" s="8" t="s">
        <v>199</v>
      </c>
      <c r="D309" s="13"/>
      <c r="E309" s="13">
        <v>35179</v>
      </c>
      <c r="F309" s="11"/>
      <c r="G309" s="11"/>
      <c r="H309" s="48"/>
      <c r="I309" s="52"/>
    </row>
    <row r="310" spans="2:9" s="8" customFormat="1" ht="12.75">
      <c r="B310" s="8" t="s">
        <v>293</v>
      </c>
      <c r="D310" s="13"/>
      <c r="E310" s="13">
        <f>534+727+2815+193+4455+715</f>
        <v>9439</v>
      </c>
      <c r="F310" s="11"/>
      <c r="G310" s="11"/>
      <c r="H310" s="48"/>
      <c r="I310" s="52"/>
    </row>
    <row r="311" spans="2:9" s="8" customFormat="1" ht="12.75">
      <c r="B311" s="8" t="s">
        <v>387</v>
      </c>
      <c r="D311" s="13"/>
      <c r="E311" s="13">
        <v>1355</v>
      </c>
      <c r="F311" s="11"/>
      <c r="G311" s="11"/>
      <c r="H311" s="48"/>
      <c r="I311" s="52"/>
    </row>
    <row r="312" spans="2:9" s="8" customFormat="1" ht="12.75">
      <c r="B312" s="8" t="s">
        <v>294</v>
      </c>
      <c r="D312" s="13"/>
      <c r="E312" s="13">
        <v>2067</v>
      </c>
      <c r="F312" s="11"/>
      <c r="G312" s="11"/>
      <c r="H312" s="48"/>
      <c r="I312" s="52"/>
    </row>
    <row r="313" spans="2:9" s="8" customFormat="1" ht="12.75">
      <c r="B313" s="8" t="s">
        <v>388</v>
      </c>
      <c r="D313" s="13"/>
      <c r="E313" s="13">
        <f>701+9978</f>
        <v>10679</v>
      </c>
      <c r="F313" s="11"/>
      <c r="G313" s="11"/>
      <c r="H313" s="48"/>
      <c r="I313" s="52"/>
    </row>
    <row r="314" spans="2:9" s="8" customFormat="1" ht="12.75">
      <c r="B314" s="8" t="s">
        <v>326</v>
      </c>
      <c r="D314" s="13"/>
      <c r="E314" s="13">
        <f>2605+2830</f>
        <v>5435</v>
      </c>
      <c r="F314" s="11"/>
      <c r="G314" s="11"/>
      <c r="H314" s="48"/>
      <c r="I314" s="52"/>
    </row>
    <row r="315" spans="2:9" s="8" customFormat="1" ht="12.75">
      <c r="B315" s="8" t="s">
        <v>295</v>
      </c>
      <c r="D315" s="13"/>
      <c r="E315" s="13">
        <v>5094</v>
      </c>
      <c r="F315" s="11"/>
      <c r="G315" s="11"/>
      <c r="H315" s="48"/>
      <c r="I315" s="52"/>
    </row>
    <row r="316" spans="2:9" s="8" customFormat="1" ht="12.75">
      <c r="B316" s="8" t="s">
        <v>296</v>
      </c>
      <c r="D316" s="13"/>
      <c r="E316" s="13">
        <v>28462</v>
      </c>
      <c r="F316" s="11"/>
      <c r="G316" s="11"/>
      <c r="H316" s="48"/>
      <c r="I316" s="52"/>
    </row>
    <row r="317" spans="2:9" s="8" customFormat="1" ht="12.75">
      <c r="B317" s="8" t="s">
        <v>327</v>
      </c>
      <c r="D317" s="13"/>
      <c r="E317" s="13">
        <v>1744</v>
      </c>
      <c r="F317" s="11"/>
      <c r="G317" s="11"/>
      <c r="H317" s="48"/>
      <c r="I317" s="52"/>
    </row>
    <row r="318" spans="2:9" s="8" customFormat="1" ht="12.75">
      <c r="B318" s="8" t="s">
        <v>328</v>
      </c>
      <c r="D318" s="13"/>
      <c r="E318" s="13">
        <v>3125</v>
      </c>
      <c r="F318" s="11"/>
      <c r="G318" s="11"/>
      <c r="H318" s="48"/>
      <c r="I318" s="52"/>
    </row>
    <row r="319" spans="4:9" s="8" customFormat="1" ht="12.75">
      <c r="D319" s="13"/>
      <c r="E319" s="13"/>
      <c r="F319" s="11"/>
      <c r="G319" s="11"/>
      <c r="H319" s="48"/>
      <c r="I319" s="52"/>
    </row>
    <row r="320" spans="2:9" s="45" customFormat="1" ht="12.75">
      <c r="B320" s="45" t="s">
        <v>207</v>
      </c>
      <c r="D320" s="46"/>
      <c r="F320" s="47">
        <f>31780+79+360700+24400+74420+10270+35100+35100+4500+10300+8565+60000+4600+2000+20150</f>
        <v>681964</v>
      </c>
      <c r="G320" s="47">
        <f>11842+79+173321+24313+36839+5227+13741+18059+1744+5521+734+28828+2263+15200</f>
        <v>337711</v>
      </c>
      <c r="H320" s="50">
        <f>G320/F320</f>
        <v>0.4952035591321536</v>
      </c>
      <c r="I320" s="55">
        <f>G320/G$528</f>
        <v>0.05214694180578499</v>
      </c>
    </row>
    <row r="321" spans="4:9" s="45" customFormat="1" ht="12.75">
      <c r="D321" s="46"/>
      <c r="F321" s="47"/>
      <c r="G321" s="47"/>
      <c r="H321" s="48"/>
      <c r="I321" s="52"/>
    </row>
    <row r="322" spans="2:9" s="8" customFormat="1" ht="12.75">
      <c r="B322" s="8" t="s">
        <v>189</v>
      </c>
      <c r="D322" s="13"/>
      <c r="F322" s="11"/>
      <c r="G322" s="11"/>
      <c r="H322" s="48"/>
      <c r="I322" s="52"/>
    </row>
    <row r="323" spans="2:9" s="8" customFormat="1" ht="12.75">
      <c r="B323" s="8" t="s">
        <v>190</v>
      </c>
      <c r="D323" s="13"/>
      <c r="F323" s="11"/>
      <c r="G323" s="11"/>
      <c r="H323" s="48"/>
      <c r="I323" s="52"/>
    </row>
    <row r="324" spans="2:9" s="8" customFormat="1" ht="12.75">
      <c r="B324" s="8" t="s">
        <v>389</v>
      </c>
      <c r="D324" s="13"/>
      <c r="F324" s="11">
        <v>308590</v>
      </c>
      <c r="G324" s="11">
        <f>112371+15558+23475+3405</f>
        <v>154809</v>
      </c>
      <c r="H324" s="48">
        <f>G324/F324</f>
        <v>0.5016656404938592</v>
      </c>
      <c r="I324" s="52">
        <f>G324/G$528</f>
        <v>0.02390450981463964</v>
      </c>
    </row>
    <row r="325" spans="2:9" s="8" customFormat="1" ht="12.75">
      <c r="B325" s="8" t="s">
        <v>191</v>
      </c>
      <c r="D325" s="13"/>
      <c r="F325" s="11"/>
      <c r="G325" s="11"/>
      <c r="H325" s="48"/>
      <c r="I325" s="52"/>
    </row>
    <row r="326" spans="2:9" s="8" customFormat="1" ht="12.75">
      <c r="B326" s="8" t="s">
        <v>334</v>
      </c>
      <c r="D326" s="13"/>
      <c r="F326" s="11">
        <v>117500</v>
      </c>
      <c r="G326" s="11">
        <f>60425+1890</f>
        <v>62315</v>
      </c>
      <c r="H326" s="48">
        <f>G326/F326</f>
        <v>0.5303404255319148</v>
      </c>
      <c r="I326" s="52">
        <f>G326/G$528</f>
        <v>0.009622241142952084</v>
      </c>
    </row>
    <row r="327" spans="2:9" s="8" customFormat="1" ht="12.75">
      <c r="B327" s="8" t="s">
        <v>192</v>
      </c>
      <c r="D327" s="13"/>
      <c r="F327" s="11"/>
      <c r="G327" s="11"/>
      <c r="H327" s="48"/>
      <c r="I327" s="52"/>
    </row>
    <row r="328" spans="2:9" s="8" customFormat="1" ht="12.75">
      <c r="B328" s="8" t="s">
        <v>335</v>
      </c>
      <c r="D328" s="13"/>
      <c r="F328" s="11">
        <v>43700</v>
      </c>
      <c r="G328" s="11">
        <v>22576</v>
      </c>
      <c r="H328" s="48">
        <f>G328/F328</f>
        <v>0.5166132723112128</v>
      </c>
      <c r="I328" s="52">
        <f>G328/G$528</f>
        <v>0.0034860260939306147</v>
      </c>
    </row>
    <row r="329" spans="2:9" s="8" customFormat="1" ht="12.75">
      <c r="B329" s="8" t="s">
        <v>208</v>
      </c>
      <c r="D329" s="13"/>
      <c r="E329" s="13"/>
      <c r="F329" s="11">
        <f>16980+8100</f>
        <v>25080</v>
      </c>
      <c r="G329" s="11">
        <f>8224+3600</f>
        <v>11824</v>
      </c>
      <c r="H329" s="48">
        <f>G329/F329</f>
        <v>0.47145135566188195</v>
      </c>
      <c r="I329" s="52">
        <f>G329/G$528</f>
        <v>0.0018257783723704638</v>
      </c>
    </row>
    <row r="330" spans="4:9" s="8" customFormat="1" ht="12.75">
      <c r="D330" s="13"/>
      <c r="F330" s="11"/>
      <c r="G330" s="11"/>
      <c r="H330" s="48"/>
      <c r="I330" s="52"/>
    </row>
    <row r="331" spans="4:9" s="8" customFormat="1" ht="12.75">
      <c r="D331" s="13"/>
      <c r="F331" s="11"/>
      <c r="G331" s="11"/>
      <c r="H331" s="48"/>
      <c r="I331" s="52"/>
    </row>
    <row r="332" spans="4:9" s="8" customFormat="1" ht="12.75">
      <c r="D332" s="13"/>
      <c r="F332" s="11"/>
      <c r="G332" s="11"/>
      <c r="H332" s="48"/>
      <c r="I332" s="52"/>
    </row>
    <row r="333" spans="4:9" s="8" customFormat="1" ht="12.75">
      <c r="D333" s="13"/>
      <c r="F333" s="11"/>
      <c r="G333" s="11"/>
      <c r="H333" s="48"/>
      <c r="I333" s="52"/>
    </row>
    <row r="334" spans="4:9" s="8" customFormat="1" ht="12.75">
      <c r="D334" s="13"/>
      <c r="F334" s="11"/>
      <c r="G334" s="11"/>
      <c r="H334" s="48"/>
      <c r="I334" s="52"/>
    </row>
    <row r="335" spans="2:9" s="8" customFormat="1" ht="12.75">
      <c r="B335" s="8" t="s">
        <v>194</v>
      </c>
      <c r="D335" s="13"/>
      <c r="E335" s="8" t="s">
        <v>195</v>
      </c>
      <c r="F335" s="11">
        <f>35100+35100+4500+10300+8565+60000</f>
        <v>153565</v>
      </c>
      <c r="G335" s="11">
        <f>13741+18059+1744+5521+734+28828</f>
        <v>68627</v>
      </c>
      <c r="H335" s="48">
        <f>G335/F335</f>
        <v>0.44689219548725295</v>
      </c>
      <c r="I335" s="52">
        <f>G335/G$528</f>
        <v>0.01059689549735012</v>
      </c>
    </row>
    <row r="336" spans="2:9" s="8" customFormat="1" ht="12.75">
      <c r="B336" s="8" t="s">
        <v>196</v>
      </c>
      <c r="D336" s="13"/>
      <c r="E336" s="13"/>
      <c r="F336" s="11"/>
      <c r="G336" s="11"/>
      <c r="H336" s="48"/>
      <c r="I336" s="52"/>
    </row>
    <row r="337" spans="2:9" s="8" customFormat="1" ht="12.75">
      <c r="B337" s="8" t="s">
        <v>197</v>
      </c>
      <c r="D337" s="13"/>
      <c r="E337" s="13">
        <v>5460</v>
      </c>
      <c r="F337" s="11"/>
      <c r="G337" s="11"/>
      <c r="H337" s="48"/>
      <c r="I337" s="52"/>
    </row>
    <row r="338" spans="2:9" s="8" customFormat="1" ht="12.75">
      <c r="B338" s="8" t="s">
        <v>198</v>
      </c>
      <c r="D338" s="13"/>
      <c r="E338" s="13">
        <v>1683</v>
      </c>
      <c r="F338" s="11"/>
      <c r="G338" s="11"/>
      <c r="H338" s="48"/>
      <c r="I338" s="52"/>
    </row>
    <row r="339" spans="2:9" s="8" customFormat="1" ht="12.75">
      <c r="B339" s="8" t="s">
        <v>209</v>
      </c>
      <c r="D339" s="13"/>
      <c r="E339" s="13">
        <f>5521-357</f>
        <v>5164</v>
      </c>
      <c r="F339" s="11"/>
      <c r="G339" s="11"/>
      <c r="H339" s="48"/>
      <c r="I339" s="52"/>
    </row>
    <row r="340" spans="2:9" s="8" customFormat="1" ht="12.75">
      <c r="B340" s="8" t="s">
        <v>201</v>
      </c>
      <c r="D340" s="13"/>
      <c r="E340" s="13">
        <v>357</v>
      </c>
      <c r="F340" s="11"/>
      <c r="G340" s="11"/>
      <c r="H340" s="48"/>
      <c r="I340" s="52"/>
    </row>
    <row r="341" spans="2:9" s="8" customFormat="1" ht="12.75">
      <c r="B341" s="8" t="s">
        <v>202</v>
      </c>
      <c r="D341" s="13"/>
      <c r="E341" s="13">
        <v>734</v>
      </c>
      <c r="F341" s="11"/>
      <c r="G341" s="11"/>
      <c r="H341" s="48"/>
      <c r="I341" s="52"/>
    </row>
    <row r="342" spans="2:9" s="8" customFormat="1" ht="12.75">
      <c r="B342" s="8" t="s">
        <v>199</v>
      </c>
      <c r="D342" s="13"/>
      <c r="E342" s="13">
        <v>18059</v>
      </c>
      <c r="F342" s="11"/>
      <c r="G342" s="11"/>
      <c r="H342" s="48"/>
      <c r="I342" s="52"/>
    </row>
    <row r="343" spans="2:9" s="8" customFormat="1" ht="12.75">
      <c r="B343" s="8" t="s">
        <v>203</v>
      </c>
      <c r="D343" s="13"/>
      <c r="E343" s="13">
        <f>2558+1792+529</f>
        <v>4879</v>
      </c>
      <c r="F343" s="11"/>
      <c r="G343" s="11"/>
      <c r="H343" s="48"/>
      <c r="I343" s="52"/>
    </row>
    <row r="344" spans="2:9" s="8" customFormat="1" ht="12.75">
      <c r="B344" s="8" t="s">
        <v>210</v>
      </c>
      <c r="D344" s="13"/>
      <c r="E344" s="13">
        <v>1719</v>
      </c>
      <c r="F344" s="11"/>
      <c r="G344" s="11"/>
      <c r="H344" s="48"/>
      <c r="I344" s="52"/>
    </row>
    <row r="345" spans="2:9" s="8" customFormat="1" ht="12.75">
      <c r="B345" s="8" t="s">
        <v>211</v>
      </c>
      <c r="D345" s="13"/>
      <c r="E345" s="13">
        <v>1777</v>
      </c>
      <c r="F345" s="11"/>
      <c r="G345" s="11"/>
      <c r="H345" s="48"/>
      <c r="I345" s="52"/>
    </row>
    <row r="346" spans="2:9" s="8" customFormat="1" ht="12.75">
      <c r="B346" s="8" t="s">
        <v>212</v>
      </c>
      <c r="D346" s="13"/>
      <c r="E346" s="13">
        <v>3119</v>
      </c>
      <c r="F346" s="11"/>
      <c r="G346" s="11"/>
      <c r="H346" s="48"/>
      <c r="I346" s="52"/>
    </row>
    <row r="347" spans="2:9" s="8" customFormat="1" ht="12.75">
      <c r="B347" s="8" t="s">
        <v>204</v>
      </c>
      <c r="D347" s="13"/>
      <c r="E347" s="13">
        <v>2069</v>
      </c>
      <c r="F347" s="11"/>
      <c r="G347" s="11"/>
      <c r="H347" s="48"/>
      <c r="I347" s="52"/>
    </row>
    <row r="348" spans="2:9" s="8" customFormat="1" ht="12.75">
      <c r="B348" s="8" t="s">
        <v>213</v>
      </c>
      <c r="D348" s="13"/>
      <c r="E348" s="13">
        <f>6163+150</f>
        <v>6313</v>
      </c>
      <c r="F348" s="11"/>
      <c r="G348" s="11"/>
      <c r="H348" s="48"/>
      <c r="I348" s="52"/>
    </row>
    <row r="349" spans="2:9" s="8" customFormat="1" ht="12.75">
      <c r="B349" s="8" t="s">
        <v>297</v>
      </c>
      <c r="D349" s="13"/>
      <c r="E349" s="13">
        <v>10906</v>
      </c>
      <c r="F349" s="11"/>
      <c r="G349" s="11"/>
      <c r="H349" s="48"/>
      <c r="I349" s="52"/>
    </row>
    <row r="350" spans="4:9" s="8" customFormat="1" ht="12.75">
      <c r="D350" s="13"/>
      <c r="E350" s="13"/>
      <c r="F350" s="11"/>
      <c r="G350" s="11"/>
      <c r="H350" s="48"/>
      <c r="I350" s="52"/>
    </row>
    <row r="351" spans="2:9" s="8" customFormat="1" ht="12.75">
      <c r="B351" s="8" t="s">
        <v>205</v>
      </c>
      <c r="D351" s="13"/>
      <c r="F351" s="11"/>
      <c r="G351" s="11"/>
      <c r="H351" s="48"/>
      <c r="I351" s="52"/>
    </row>
    <row r="352" spans="2:9" s="8" customFormat="1" ht="12.75">
      <c r="B352" s="8" t="s">
        <v>206</v>
      </c>
      <c r="D352" s="13"/>
      <c r="F352" s="11">
        <v>20150</v>
      </c>
      <c r="G352" s="11">
        <v>15200</v>
      </c>
      <c r="H352" s="48">
        <f>G352/F352</f>
        <v>0.7543424317617866</v>
      </c>
      <c r="I352" s="52">
        <f>G352/G$528</f>
        <v>0.002347076392086523</v>
      </c>
    </row>
    <row r="353" spans="4:9" s="8" customFormat="1" ht="12.75">
      <c r="D353" s="13"/>
      <c r="F353" s="11"/>
      <c r="G353" s="11"/>
      <c r="H353" s="48"/>
      <c r="I353" s="52"/>
    </row>
    <row r="354" spans="2:9" s="45" customFormat="1" ht="12.75">
      <c r="B354" s="45" t="s">
        <v>214</v>
      </c>
      <c r="D354" s="46"/>
      <c r="F354" s="47">
        <v>34380</v>
      </c>
      <c r="G354" s="47">
        <v>16865</v>
      </c>
      <c r="H354" s="50">
        <f>G354/F354</f>
        <v>0.49054682955206513</v>
      </c>
      <c r="I354" s="55">
        <f>G354/G$528</f>
        <v>0.0026041739047723165</v>
      </c>
    </row>
    <row r="355" spans="4:9" s="45" customFormat="1" ht="12.75">
      <c r="D355" s="46"/>
      <c r="F355" s="47"/>
      <c r="G355" s="47"/>
      <c r="H355" s="48"/>
      <c r="I355" s="52"/>
    </row>
    <row r="356" spans="2:9" s="45" customFormat="1" ht="12.75">
      <c r="B356" s="45" t="s">
        <v>215</v>
      </c>
      <c r="D356" s="46"/>
      <c r="F356" s="47">
        <v>1617400</v>
      </c>
      <c r="G356" s="47">
        <v>822192</v>
      </c>
      <c r="H356" s="50">
        <f>G356/F356</f>
        <v>0.5083417831086929</v>
      </c>
      <c r="I356" s="55">
        <f>G356/G$528</f>
        <v>0.1269570679580528</v>
      </c>
    </row>
    <row r="357" spans="4:9" s="8" customFormat="1" ht="12.75">
      <c r="D357" s="13"/>
      <c r="F357" s="11"/>
      <c r="G357" s="11"/>
      <c r="H357" s="48"/>
      <c r="I357" s="52"/>
    </row>
    <row r="358" spans="2:9" s="8" customFormat="1" ht="12.75">
      <c r="B358" s="8" t="s">
        <v>189</v>
      </c>
      <c r="D358" s="13"/>
      <c r="F358" s="11"/>
      <c r="G358" s="11"/>
      <c r="H358" s="48"/>
      <c r="I358" s="52"/>
    </row>
    <row r="359" spans="2:9" s="8" customFormat="1" ht="12.75">
      <c r="B359" s="8" t="s">
        <v>190</v>
      </c>
      <c r="D359" s="13"/>
      <c r="F359" s="11"/>
      <c r="G359" s="11"/>
      <c r="H359" s="48"/>
      <c r="I359" s="52"/>
    </row>
    <row r="360" spans="2:9" s="8" customFormat="1" ht="12.75">
      <c r="B360" s="8" t="s">
        <v>390</v>
      </c>
      <c r="D360" s="13"/>
      <c r="F360" s="11">
        <f>716250+52500+137100+19000</f>
        <v>924850</v>
      </c>
      <c r="G360" s="11">
        <f>329094+51409+73101+9381</f>
        <v>462985</v>
      </c>
      <c r="H360" s="48">
        <f>G360/F360</f>
        <v>0.5006055035951776</v>
      </c>
      <c r="I360" s="52">
        <f>G360/G$528</f>
        <v>0.07149086601251177</v>
      </c>
    </row>
    <row r="361" spans="2:9" s="8" customFormat="1" ht="12.75">
      <c r="B361" s="8" t="s">
        <v>191</v>
      </c>
      <c r="D361" s="13"/>
      <c r="F361" s="11"/>
      <c r="G361" s="11"/>
      <c r="H361" s="48"/>
      <c r="I361" s="52"/>
    </row>
    <row r="362" spans="2:9" s="8" customFormat="1" ht="12.75">
      <c r="B362" s="8" t="s">
        <v>298</v>
      </c>
      <c r="D362" s="13"/>
      <c r="F362" s="11">
        <f>207350+16500+39100+5400</f>
        <v>268350</v>
      </c>
      <c r="G362" s="11">
        <f>97582+15752+20028+2826</f>
        <v>136188</v>
      </c>
      <c r="H362" s="48">
        <f>G362/F362</f>
        <v>0.5075013974287311</v>
      </c>
      <c r="I362" s="52">
        <f>G362/G$528</f>
        <v>0.02102918682141312</v>
      </c>
    </row>
    <row r="363" spans="2:9" s="8" customFormat="1" ht="12.75">
      <c r="B363" s="8" t="s">
        <v>192</v>
      </c>
      <c r="D363" s="13"/>
      <c r="F363" s="11"/>
      <c r="G363" s="11"/>
      <c r="H363" s="48"/>
      <c r="I363" s="52"/>
    </row>
    <row r="364" spans="2:9" s="8" customFormat="1" ht="12.75">
      <c r="B364" s="8" t="s">
        <v>246</v>
      </c>
      <c r="D364" s="13"/>
      <c r="F364" s="11">
        <f>50800+4200+9600+1300</f>
        <v>65900</v>
      </c>
      <c r="G364" s="11">
        <f>25005+4160+5355+718</f>
        <v>35238</v>
      </c>
      <c r="H364" s="48">
        <f>G364/F364</f>
        <v>0.5347192716236723</v>
      </c>
      <c r="I364" s="52">
        <f>G364/G$528</f>
        <v>0.005441202493706902</v>
      </c>
    </row>
    <row r="365" spans="2:9" s="8" customFormat="1" ht="12.75">
      <c r="B365" s="8" t="s">
        <v>193</v>
      </c>
      <c r="D365" s="13"/>
      <c r="F365" s="11">
        <v>2000</v>
      </c>
      <c r="G365" s="11">
        <v>750</v>
      </c>
      <c r="H365" s="48">
        <f>G365/F365</f>
        <v>0.375</v>
      </c>
      <c r="I365" s="52">
        <f>G365/G$528</f>
        <v>0.00011580969039900607</v>
      </c>
    </row>
    <row r="366" spans="2:9" s="8" customFormat="1" ht="12.75">
      <c r="B366" s="8" t="s">
        <v>329</v>
      </c>
      <c r="D366" s="13"/>
      <c r="F366" s="11">
        <v>6300</v>
      </c>
      <c r="G366" s="11">
        <v>0</v>
      </c>
      <c r="H366" s="48">
        <f>G366/F366</f>
        <v>0</v>
      </c>
      <c r="I366" s="52">
        <f>G366/G$528</f>
        <v>0</v>
      </c>
    </row>
    <row r="367" spans="2:9" s="8" customFormat="1" ht="12.75">
      <c r="B367" s="8" t="s">
        <v>299</v>
      </c>
      <c r="D367" s="13"/>
      <c r="E367" s="8" t="s">
        <v>195</v>
      </c>
      <c r="F367" s="11">
        <f>49000+74000+5000+69000+12000+68600</f>
        <v>277600</v>
      </c>
      <c r="G367" s="11">
        <f>29612+36519+1710+32643+6757+30555</f>
        <v>137796</v>
      </c>
      <c r="H367" s="48">
        <f>G367/F367</f>
        <v>0.4963832853025937</v>
      </c>
      <c r="I367" s="52">
        <f>G367/G$528</f>
        <v>0.02127748279762859</v>
      </c>
    </row>
    <row r="368" spans="2:9" s="8" customFormat="1" ht="12.75">
      <c r="B368" s="8" t="s">
        <v>196</v>
      </c>
      <c r="D368" s="13"/>
      <c r="E368" s="13"/>
      <c r="F368" s="11"/>
      <c r="G368" s="11"/>
      <c r="H368" s="48"/>
      <c r="I368" s="52"/>
    </row>
    <row r="369" spans="2:9" s="8" customFormat="1" ht="12.75">
      <c r="B369" s="8" t="s">
        <v>197</v>
      </c>
      <c r="D369" s="13"/>
      <c r="E369" s="13">
        <v>9417</v>
      </c>
      <c r="F369" s="11"/>
      <c r="G369" s="11"/>
      <c r="H369" s="48"/>
      <c r="I369" s="52"/>
    </row>
    <row r="370" spans="2:9" s="8" customFormat="1" ht="12.75">
      <c r="B370" s="8" t="s">
        <v>198</v>
      </c>
      <c r="D370" s="13"/>
      <c r="E370" s="13">
        <v>6071</v>
      </c>
      <c r="F370" s="11"/>
      <c r="G370" s="11"/>
      <c r="H370" s="48"/>
      <c r="I370" s="52"/>
    </row>
    <row r="371" spans="2:9" s="8" customFormat="1" ht="12.75">
      <c r="B371" s="8" t="s">
        <v>200</v>
      </c>
      <c r="D371" s="13"/>
      <c r="E371" s="13">
        <v>10246</v>
      </c>
      <c r="F371" s="11"/>
      <c r="G371" s="11"/>
      <c r="H371" s="48"/>
      <c r="I371" s="52"/>
    </row>
    <row r="372" spans="2:9" s="8" customFormat="1" ht="12.75">
      <c r="B372" s="8" t="s">
        <v>201</v>
      </c>
      <c r="D372" s="13"/>
      <c r="E372" s="13">
        <v>1198</v>
      </c>
      <c r="F372" s="11"/>
      <c r="G372" s="11"/>
      <c r="H372" s="48"/>
      <c r="I372" s="52"/>
    </row>
    <row r="373" spans="2:9" s="8" customFormat="1" ht="12.75">
      <c r="B373" s="8" t="s">
        <v>216</v>
      </c>
      <c r="D373" s="13"/>
      <c r="E373" s="13">
        <v>19979</v>
      </c>
      <c r="F373" s="11"/>
      <c r="G373" s="11"/>
      <c r="H373" s="48"/>
      <c r="I373" s="52"/>
    </row>
    <row r="374" spans="2:9" s="8" customFormat="1" ht="12.75">
      <c r="B374" s="8" t="s">
        <v>330</v>
      </c>
      <c r="D374" s="13"/>
      <c r="E374" s="13">
        <f>1200+20</f>
        <v>1220</v>
      </c>
      <c r="F374" s="11"/>
      <c r="G374" s="11"/>
      <c r="H374" s="48"/>
      <c r="I374" s="52"/>
    </row>
    <row r="375" spans="2:9" s="8" customFormat="1" ht="12.75">
      <c r="B375" s="8" t="s">
        <v>217</v>
      </c>
      <c r="D375" s="13"/>
      <c r="E375" s="13">
        <v>6286</v>
      </c>
      <c r="F375" s="11"/>
      <c r="G375" s="11"/>
      <c r="H375" s="48"/>
      <c r="I375" s="52"/>
    </row>
    <row r="376" spans="2:9" s="8" customFormat="1" ht="12.75">
      <c r="B376" s="8" t="s">
        <v>218</v>
      </c>
      <c r="D376" s="13"/>
      <c r="E376" s="13">
        <v>36519</v>
      </c>
      <c r="F376" s="11"/>
      <c r="G376" s="11"/>
      <c r="H376" s="48"/>
      <c r="I376" s="52"/>
    </row>
    <row r="377" spans="2:9" s="8" customFormat="1" ht="12.75">
      <c r="B377" s="8" t="s">
        <v>331</v>
      </c>
      <c r="D377" s="13"/>
      <c r="E377" s="13">
        <f>5440+6918+870+1364</f>
        <v>14592</v>
      </c>
      <c r="F377" s="11"/>
      <c r="G377" s="11"/>
      <c r="H377" s="48"/>
      <c r="I377" s="52"/>
    </row>
    <row r="378" spans="2:9" s="8" customFormat="1" ht="12.75">
      <c r="B378" s="56" t="s">
        <v>391</v>
      </c>
      <c r="D378" s="13"/>
      <c r="E378" s="13">
        <v>895</v>
      </c>
      <c r="F378" s="11"/>
      <c r="G378" s="11"/>
      <c r="H378" s="48"/>
      <c r="I378" s="52"/>
    </row>
    <row r="379" spans="2:9" s="8" customFormat="1" ht="12.75">
      <c r="B379" s="8" t="s">
        <v>300</v>
      </c>
      <c r="D379" s="13"/>
      <c r="E379" s="13">
        <v>3139</v>
      </c>
      <c r="F379" s="11"/>
      <c r="G379" s="11"/>
      <c r="H379" s="48"/>
      <c r="I379" s="52"/>
    </row>
    <row r="380" spans="2:9" s="8" customFormat="1" ht="12.75">
      <c r="B380" s="8" t="s">
        <v>301</v>
      </c>
      <c r="D380" s="13"/>
      <c r="E380" s="13">
        <v>1830</v>
      </c>
      <c r="F380" s="11"/>
      <c r="G380" s="11"/>
      <c r="H380" s="48"/>
      <c r="I380" s="52"/>
    </row>
    <row r="381" spans="2:9" s="8" customFormat="1" ht="12.75">
      <c r="B381" s="8" t="s">
        <v>302</v>
      </c>
      <c r="D381" s="13"/>
      <c r="E381" s="13">
        <v>6799</v>
      </c>
      <c r="F381" s="11"/>
      <c r="G381" s="11"/>
      <c r="H381" s="48"/>
      <c r="I381" s="52"/>
    </row>
    <row r="382" spans="2:9" s="8" customFormat="1" ht="12.75">
      <c r="B382" s="8" t="s">
        <v>332</v>
      </c>
      <c r="D382" s="13"/>
      <c r="E382" s="13">
        <v>1710</v>
      </c>
      <c r="F382" s="11"/>
      <c r="G382" s="11"/>
      <c r="H382" s="48"/>
      <c r="I382" s="52"/>
    </row>
    <row r="383" spans="4:9" s="8" customFormat="1" ht="12.75">
      <c r="D383" s="13"/>
      <c r="E383" s="13"/>
      <c r="F383" s="11"/>
      <c r="G383" s="11"/>
      <c r="H383" s="48"/>
      <c r="I383" s="52"/>
    </row>
    <row r="384" spans="2:9" s="8" customFormat="1" ht="12.75">
      <c r="B384" s="8" t="s">
        <v>205</v>
      </c>
      <c r="D384" s="13"/>
      <c r="F384" s="11"/>
      <c r="G384" s="11"/>
      <c r="H384" s="48"/>
      <c r="I384" s="52"/>
    </row>
    <row r="385" spans="2:9" s="8" customFormat="1" ht="12.75">
      <c r="B385" s="8" t="s">
        <v>206</v>
      </c>
      <c r="D385" s="13"/>
      <c r="F385" s="11">
        <v>60400</v>
      </c>
      <c r="G385" s="11">
        <v>44775</v>
      </c>
      <c r="H385" s="48">
        <f>G385/F385</f>
        <v>0.7413079470198676</v>
      </c>
      <c r="I385" s="52">
        <f>G385/G$528</f>
        <v>0.006913838516820663</v>
      </c>
    </row>
    <row r="386" spans="4:9" s="8" customFormat="1" ht="12.75">
      <c r="D386" s="13"/>
      <c r="F386" s="11"/>
      <c r="G386" s="11"/>
      <c r="H386" s="48"/>
      <c r="I386" s="52"/>
    </row>
    <row r="387" spans="2:9" s="45" customFormat="1" ht="12.75">
      <c r="B387" s="45" t="s">
        <v>219</v>
      </c>
      <c r="D387" s="46"/>
      <c r="F387" s="47">
        <v>70093</v>
      </c>
      <c r="G387" s="47">
        <v>32538</v>
      </c>
      <c r="H387" s="50">
        <f>G387/F387</f>
        <v>0.46421183285064127</v>
      </c>
      <c r="I387" s="55">
        <f>G387/G$528</f>
        <v>0.00502428760827048</v>
      </c>
    </row>
    <row r="388" spans="4:9" s="8" customFormat="1" ht="12.75">
      <c r="D388" s="13"/>
      <c r="F388" s="11"/>
      <c r="G388" s="11"/>
      <c r="H388" s="50"/>
      <c r="I388" s="55"/>
    </row>
    <row r="389" spans="2:9" s="45" customFormat="1" ht="12.75">
      <c r="B389" s="45" t="s">
        <v>303</v>
      </c>
      <c r="D389" s="46"/>
      <c r="F389" s="47">
        <v>14900</v>
      </c>
      <c r="G389" s="47">
        <v>4338</v>
      </c>
      <c r="H389" s="50">
        <f>G389/F389</f>
        <v>0.29114093959731546</v>
      </c>
      <c r="I389" s="55">
        <f>G389/G$528</f>
        <v>0.0006698432492678511</v>
      </c>
    </row>
    <row r="390" spans="4:9" s="8" customFormat="1" ht="12.75">
      <c r="D390" s="13"/>
      <c r="F390" s="11"/>
      <c r="G390" s="11"/>
      <c r="H390" s="50"/>
      <c r="I390" s="55"/>
    </row>
    <row r="391" spans="2:9" s="45" customFormat="1" ht="12.75">
      <c r="B391" s="45" t="s">
        <v>333</v>
      </c>
      <c r="D391" s="46"/>
      <c r="F391" s="47">
        <v>180</v>
      </c>
      <c r="G391" s="47">
        <v>180</v>
      </c>
      <c r="H391" s="50">
        <f>G391/F391</f>
        <v>1</v>
      </c>
      <c r="I391" s="55">
        <f>G391/G$528</f>
        <v>2.779432569576146E-05</v>
      </c>
    </row>
    <row r="392" spans="4:9" s="8" customFormat="1" ht="12.75">
      <c r="D392" s="13"/>
      <c r="F392" s="11"/>
      <c r="G392" s="11"/>
      <c r="H392" s="50"/>
      <c r="I392" s="55"/>
    </row>
    <row r="393" spans="2:9" s="45" customFormat="1" ht="12.75">
      <c r="B393" s="45" t="s">
        <v>304</v>
      </c>
      <c r="D393" s="46"/>
      <c r="F393" s="47"/>
      <c r="G393" s="47"/>
      <c r="H393" s="50"/>
      <c r="I393" s="55"/>
    </row>
    <row r="394" spans="2:9" s="45" customFormat="1" ht="12.75">
      <c r="B394" s="45" t="s">
        <v>247</v>
      </c>
      <c r="D394" s="46"/>
      <c r="F394" s="47">
        <v>2406</v>
      </c>
      <c r="G394" s="47">
        <v>0</v>
      </c>
      <c r="H394" s="50">
        <f>G394/F394</f>
        <v>0</v>
      </c>
      <c r="I394" s="55">
        <f>G394/G$528</f>
        <v>0</v>
      </c>
    </row>
    <row r="395" spans="4:9" s="45" customFormat="1" ht="12.75">
      <c r="D395" s="46"/>
      <c r="F395" s="47"/>
      <c r="G395" s="47"/>
      <c r="H395" s="50"/>
      <c r="I395" s="55"/>
    </row>
    <row r="396" spans="2:9" s="45" customFormat="1" ht="12.75">
      <c r="B396" s="45" t="s">
        <v>392</v>
      </c>
      <c r="D396" s="46"/>
      <c r="F396" s="47"/>
      <c r="G396" s="47"/>
      <c r="H396" s="48"/>
      <c r="I396" s="52"/>
    </row>
    <row r="397" spans="2:9" s="45" customFormat="1" ht="12.75">
      <c r="B397" s="45" t="s">
        <v>220</v>
      </c>
      <c r="D397" s="46"/>
      <c r="F397" s="47">
        <v>16300</v>
      </c>
      <c r="G397" s="47">
        <v>16300</v>
      </c>
      <c r="H397" s="50">
        <f>G397/F397</f>
        <v>1</v>
      </c>
      <c r="I397" s="55">
        <f>G397/G$528</f>
        <v>0.002516930604671732</v>
      </c>
    </row>
    <row r="398" spans="2:9" s="8" customFormat="1" ht="12.75">
      <c r="B398" s="8" t="s">
        <v>393</v>
      </c>
      <c r="D398" s="13"/>
      <c r="F398" s="11">
        <v>5000</v>
      </c>
      <c r="G398" s="11">
        <v>0</v>
      </c>
      <c r="H398" s="48"/>
      <c r="I398" s="52"/>
    </row>
    <row r="399" spans="2:9" s="8" customFormat="1" ht="12.75">
      <c r="B399" s="8" t="s">
        <v>394</v>
      </c>
      <c r="D399" s="13"/>
      <c r="F399" s="11"/>
      <c r="G399" s="11"/>
      <c r="H399" s="48"/>
      <c r="I399" s="52"/>
    </row>
    <row r="400" spans="2:9" s="8" customFormat="1" ht="12.75">
      <c r="B400" s="8" t="s">
        <v>395</v>
      </c>
      <c r="D400" s="13"/>
      <c r="F400" s="11"/>
      <c r="G400" s="11"/>
      <c r="H400" s="48"/>
      <c r="I400" s="52"/>
    </row>
    <row r="401" spans="2:9" s="8" customFormat="1" ht="12.75">
      <c r="B401" s="8" t="s">
        <v>396</v>
      </c>
      <c r="D401" s="13"/>
      <c r="F401" s="11"/>
      <c r="G401" s="11"/>
      <c r="H401" s="48"/>
      <c r="I401" s="52"/>
    </row>
    <row r="402" spans="2:9" s="8" customFormat="1" ht="12.75">
      <c r="B402" s="8" t="s">
        <v>397</v>
      </c>
      <c r="D402" s="13"/>
      <c r="F402" s="11">
        <v>51927</v>
      </c>
      <c r="G402" s="11">
        <v>0</v>
      </c>
      <c r="H402" s="48"/>
      <c r="I402" s="52"/>
    </row>
    <row r="403" spans="4:9" s="8" customFormat="1" ht="12.75">
      <c r="D403" s="13"/>
      <c r="F403" s="11"/>
      <c r="G403" s="11"/>
      <c r="H403" s="48"/>
      <c r="I403" s="52"/>
    </row>
    <row r="404" spans="1:9" s="21" customFormat="1" ht="12.75">
      <c r="A404" s="21" t="s">
        <v>95</v>
      </c>
      <c r="B404" s="21" t="s">
        <v>27</v>
      </c>
      <c r="D404" s="22"/>
      <c r="F404" s="24">
        <f>SUM(F407:F407)</f>
        <v>240756</v>
      </c>
      <c r="G404" s="24">
        <f>SUM(G407:G407)</f>
        <v>121288</v>
      </c>
      <c r="H404" s="51">
        <f>G404/F404</f>
        <v>0.5037797604213394</v>
      </c>
      <c r="I404" s="54">
        <f>G404/G$528</f>
        <v>0.018728434305486198</v>
      </c>
    </row>
    <row r="405" spans="4:9" s="8" customFormat="1" ht="12.75">
      <c r="D405" s="13"/>
      <c r="F405" s="11"/>
      <c r="G405" s="11"/>
      <c r="H405" s="48"/>
      <c r="I405" s="52"/>
    </row>
    <row r="406" spans="2:9" ht="12.75">
      <c r="B406" t="s">
        <v>305</v>
      </c>
      <c r="F406" s="5"/>
      <c r="G406" s="5"/>
      <c r="I406" s="52"/>
    </row>
    <row r="407" spans="2:9" ht="12.75">
      <c r="B407" t="s">
        <v>306</v>
      </c>
      <c r="F407" s="5">
        <f>298756-58000</f>
        <v>240756</v>
      </c>
      <c r="G407" s="5">
        <f>130488-5000-4200</f>
        <v>121288</v>
      </c>
      <c r="H407" s="48">
        <f>G407/F407</f>
        <v>0.5037797604213394</v>
      </c>
      <c r="I407" s="52">
        <f>G407/G$528</f>
        <v>0.018728434305486198</v>
      </c>
    </row>
    <row r="408" spans="6:9" ht="12.75">
      <c r="F408" s="5"/>
      <c r="G408" s="5"/>
      <c r="I408" s="52"/>
    </row>
    <row r="409" spans="1:9" s="3" customFormat="1" ht="12.75">
      <c r="A409" s="3" t="s">
        <v>63</v>
      </c>
      <c r="B409" s="3" t="s">
        <v>13</v>
      </c>
      <c r="D409" s="10"/>
      <c r="F409" s="4">
        <f>SUM(F410:F417)</f>
        <v>1540398</v>
      </c>
      <c r="G409" s="4">
        <f>SUM(G410:G417)</f>
        <v>760205</v>
      </c>
      <c r="H409" s="51">
        <f aca="true" t="shared" si="8" ref="H409:H416">G409/F409</f>
        <v>0.49351206636207007</v>
      </c>
      <c r="I409" s="54">
        <f aca="true" t="shared" si="9" ref="I409:I417">G409/G$528</f>
        <v>0.11738547425303522</v>
      </c>
    </row>
    <row r="410" spans="2:9" ht="12.75">
      <c r="B410" t="s">
        <v>96</v>
      </c>
      <c r="F410" s="5">
        <f>15000+326800+10000</f>
        <v>351800</v>
      </c>
      <c r="G410" s="5">
        <f>6294+160397+3262</f>
        <v>169953</v>
      </c>
      <c r="H410" s="48">
        <f t="shared" si="8"/>
        <v>0.4830955088118249</v>
      </c>
      <c r="I410" s="52">
        <f t="shared" si="9"/>
        <v>0.026242939083176372</v>
      </c>
    </row>
    <row r="411" spans="2:9" ht="12.75">
      <c r="B411" t="s">
        <v>97</v>
      </c>
      <c r="F411" s="5">
        <v>183000</v>
      </c>
      <c r="G411" s="5">
        <v>116279</v>
      </c>
      <c r="H411" s="48">
        <f t="shared" si="8"/>
        <v>0.6354043715846994</v>
      </c>
      <c r="I411" s="52">
        <f t="shared" si="9"/>
        <v>0.01795497998654137</v>
      </c>
    </row>
    <row r="412" spans="2:9" ht="12.75">
      <c r="B412" t="s">
        <v>98</v>
      </c>
      <c r="F412" s="5">
        <v>354579</v>
      </c>
      <c r="G412" s="5">
        <v>159878</v>
      </c>
      <c r="H412" s="48">
        <f t="shared" si="8"/>
        <v>0.4508952870869397</v>
      </c>
      <c r="I412" s="52">
        <f t="shared" si="9"/>
        <v>0.024687228908816392</v>
      </c>
    </row>
    <row r="413" spans="2:9" ht="12.75">
      <c r="B413" t="s">
        <v>221</v>
      </c>
      <c r="F413" s="5">
        <v>47100</v>
      </c>
      <c r="G413" s="5">
        <v>21621</v>
      </c>
      <c r="H413" s="48">
        <f t="shared" si="8"/>
        <v>0.45904458598726117</v>
      </c>
      <c r="I413" s="52">
        <f t="shared" si="9"/>
        <v>0.0033385617548225472</v>
      </c>
    </row>
    <row r="414" spans="2:9" ht="12.75">
      <c r="B414" t="s">
        <v>99</v>
      </c>
      <c r="F414" s="5">
        <v>337670</v>
      </c>
      <c r="G414" s="5">
        <v>158743</v>
      </c>
      <c r="H414" s="48">
        <f t="shared" si="8"/>
        <v>0.4701128320549649</v>
      </c>
      <c r="I414" s="52">
        <f t="shared" si="9"/>
        <v>0.02451197024401256</v>
      </c>
    </row>
    <row r="415" spans="2:9" ht="12.75">
      <c r="B415" t="s">
        <v>100</v>
      </c>
      <c r="F415" s="5">
        <v>225045</v>
      </c>
      <c r="G415" s="5">
        <v>95157</v>
      </c>
      <c r="H415" s="48">
        <f t="shared" si="8"/>
        <v>0.4228354329134173</v>
      </c>
      <c r="I415" s="52">
        <f t="shared" si="9"/>
        <v>0.014693470279064294</v>
      </c>
    </row>
    <row r="416" spans="2:9" ht="12.75">
      <c r="B416" t="s">
        <v>222</v>
      </c>
      <c r="F416" s="5">
        <v>39764</v>
      </c>
      <c r="G416" s="5">
        <v>37134</v>
      </c>
      <c r="H416" s="48">
        <f t="shared" si="8"/>
        <v>0.9338597726586862</v>
      </c>
      <c r="I416" s="52">
        <f t="shared" si="9"/>
        <v>0.005733969391035589</v>
      </c>
    </row>
    <row r="417" spans="2:9" ht="12.75">
      <c r="B417" t="s">
        <v>336</v>
      </c>
      <c r="F417" s="5">
        <v>1440</v>
      </c>
      <c r="G417" s="5">
        <v>1440</v>
      </c>
      <c r="H417" s="48">
        <f>G417/F417</f>
        <v>1</v>
      </c>
      <c r="I417" s="52">
        <f t="shared" si="9"/>
        <v>0.00022235460556609168</v>
      </c>
    </row>
    <row r="418" spans="6:9" ht="12.75">
      <c r="F418" s="5"/>
      <c r="G418" s="5"/>
      <c r="I418" s="52"/>
    </row>
    <row r="419" spans="1:9" s="21" customFormat="1" ht="12.75">
      <c r="A419" s="21" t="s">
        <v>64</v>
      </c>
      <c r="B419" s="21" t="s">
        <v>65</v>
      </c>
      <c r="D419" s="22"/>
      <c r="F419" s="24">
        <f>SUM(F420:F429)</f>
        <v>1081900</v>
      </c>
      <c r="G419" s="24">
        <f>SUM(G420:G429)</f>
        <v>519734</v>
      </c>
      <c r="H419" s="51">
        <f>G419/F419</f>
        <v>0.4803900545336907</v>
      </c>
      <c r="I419" s="54">
        <f>G419/G$528</f>
        <v>0.0802536448397827</v>
      </c>
    </row>
    <row r="420" spans="2:9" s="20" customFormat="1" ht="12.75">
      <c r="B420" s="20" t="s">
        <v>101</v>
      </c>
      <c r="D420" s="28"/>
      <c r="F420" s="25">
        <v>130100</v>
      </c>
      <c r="G420" s="25">
        <v>70428</v>
      </c>
      <c r="H420" s="48">
        <f>G420/F420</f>
        <v>0.541337432744043</v>
      </c>
      <c r="I420" s="52">
        <f>G420/G$528</f>
        <v>0.010874993167228267</v>
      </c>
    </row>
    <row r="421" spans="2:9" s="8" customFormat="1" ht="12.75">
      <c r="B421" s="8" t="s">
        <v>223</v>
      </c>
      <c r="D421" s="13"/>
      <c r="F421" s="11">
        <v>870250</v>
      </c>
      <c r="G421" s="11">
        <v>430576</v>
      </c>
      <c r="H421" s="48">
        <f>G421/F421</f>
        <v>0.49477276644642343</v>
      </c>
      <c r="I421" s="52">
        <f>G421/G$528</f>
        <v>0.06648649767098992</v>
      </c>
    </row>
    <row r="422" spans="2:9" ht="12.75">
      <c r="B422" t="s">
        <v>102</v>
      </c>
      <c r="F422" s="5">
        <v>72300</v>
      </c>
      <c r="G422" s="5">
        <v>13134</v>
      </c>
      <c r="H422" s="48">
        <f>G422/F422</f>
        <v>0.18165975103734439</v>
      </c>
      <c r="I422" s="52">
        <f>G422/G$528</f>
        <v>0.0020280592982673943</v>
      </c>
    </row>
    <row r="423" spans="2:9" ht="12.75">
      <c r="B423" t="s">
        <v>24</v>
      </c>
      <c r="D423" s="5"/>
      <c r="F423" s="5"/>
      <c r="G423" s="5"/>
      <c r="I423" s="52"/>
    </row>
    <row r="424" spans="2:9" ht="12.75">
      <c r="B424" t="s">
        <v>25</v>
      </c>
      <c r="D424" s="6">
        <f>5855+2182+2834</f>
        <v>10871</v>
      </c>
      <c r="F424" s="5"/>
      <c r="G424" s="5"/>
      <c r="I424" s="52"/>
    </row>
    <row r="425" spans="2:9" ht="12.75">
      <c r="B425" t="s">
        <v>26</v>
      </c>
      <c r="D425" s="6">
        <f>895+70</f>
        <v>965</v>
      </c>
      <c r="F425" s="5"/>
      <c r="G425" s="5"/>
      <c r="I425" s="52"/>
    </row>
    <row r="426" spans="2:9" ht="12.75">
      <c r="B426" t="s">
        <v>181</v>
      </c>
      <c r="D426" s="6">
        <v>1298</v>
      </c>
      <c r="F426" s="5"/>
      <c r="G426" s="5"/>
      <c r="I426" s="52"/>
    </row>
    <row r="427" spans="2:9" ht="12.75">
      <c r="B427" t="s">
        <v>398</v>
      </c>
      <c r="F427" s="5">
        <v>5550</v>
      </c>
      <c r="G427" s="5">
        <v>1896</v>
      </c>
      <c r="H427" s="48">
        <f>G427/F427</f>
        <v>0.34162162162162163</v>
      </c>
      <c r="I427" s="52">
        <f>G427/G$528</f>
        <v>0.00029276689732868734</v>
      </c>
    </row>
    <row r="428" spans="2:9" ht="12.75">
      <c r="B428" s="20" t="s">
        <v>399</v>
      </c>
      <c r="F428" s="5"/>
      <c r="G428" s="5"/>
      <c r="I428" s="52"/>
    </row>
    <row r="429" spans="2:9" ht="12.75">
      <c r="B429" s="20" t="s">
        <v>220</v>
      </c>
      <c r="F429" s="5">
        <v>3700</v>
      </c>
      <c r="G429" s="5">
        <v>3700</v>
      </c>
      <c r="H429" s="48">
        <f>G429/F429</f>
        <v>1</v>
      </c>
      <c r="I429" s="52">
        <f>G429/G$528</f>
        <v>0.00057132780596843</v>
      </c>
    </row>
    <row r="430" spans="2:9" ht="12.75">
      <c r="B430" s="20"/>
      <c r="F430" s="5"/>
      <c r="G430" s="5"/>
      <c r="I430" s="52"/>
    </row>
    <row r="431" spans="1:9" s="3" customFormat="1" ht="12.75">
      <c r="A431" s="3" t="s">
        <v>66</v>
      </c>
      <c r="B431" s="3" t="s">
        <v>103</v>
      </c>
      <c r="D431" s="10"/>
      <c r="F431" s="4">
        <f>SUM(F432:F442)</f>
        <v>1273718</v>
      </c>
      <c r="G431" s="4">
        <f>SUM(G432:G442)</f>
        <v>520873</v>
      </c>
      <c r="H431" s="51">
        <f aca="true" t="shared" si="10" ref="H431:H442">G431/F431</f>
        <v>0.408939027320019</v>
      </c>
      <c r="I431" s="54">
        <f aca="true" t="shared" si="11" ref="I431:I440">G431/G$528</f>
        <v>0.08042952115626865</v>
      </c>
    </row>
    <row r="432" spans="2:9" s="62" customFormat="1" ht="12.75">
      <c r="B432" s="62" t="s">
        <v>400</v>
      </c>
      <c r="D432" s="63"/>
      <c r="F432" s="64">
        <v>643000</v>
      </c>
      <c r="G432" s="64">
        <v>271975</v>
      </c>
      <c r="H432" s="52">
        <f t="shared" si="10"/>
        <v>0.4229782270606532</v>
      </c>
      <c r="I432" s="52">
        <f t="shared" si="11"/>
        <v>0.0419964540616929</v>
      </c>
    </row>
    <row r="433" spans="2:9" ht="12.75">
      <c r="B433" t="s">
        <v>401</v>
      </c>
      <c r="F433" s="5">
        <v>296500</v>
      </c>
      <c r="G433" s="5">
        <v>121160</v>
      </c>
      <c r="H433" s="48">
        <f t="shared" si="10"/>
        <v>0.4086340640809443</v>
      </c>
      <c r="I433" s="52">
        <f t="shared" si="11"/>
        <v>0.0187086694516581</v>
      </c>
    </row>
    <row r="434" spans="2:9" ht="12.75">
      <c r="B434" t="s">
        <v>402</v>
      </c>
      <c r="F434" s="5">
        <v>5000</v>
      </c>
      <c r="G434" s="5">
        <v>0</v>
      </c>
      <c r="H434" s="48">
        <f t="shared" si="10"/>
        <v>0</v>
      </c>
      <c r="I434" s="52">
        <f t="shared" si="11"/>
        <v>0</v>
      </c>
    </row>
    <row r="435" spans="2:9" ht="12.75">
      <c r="B435" t="s">
        <v>403</v>
      </c>
      <c r="F435" s="5">
        <v>150000</v>
      </c>
      <c r="G435" s="5">
        <v>87457</v>
      </c>
      <c r="H435" s="48">
        <f t="shared" si="10"/>
        <v>0.5830466666666667</v>
      </c>
      <c r="I435" s="52">
        <f t="shared" si="11"/>
        <v>0.013504490790967832</v>
      </c>
    </row>
    <row r="436" spans="2:9" ht="12.75">
      <c r="B436" t="s">
        <v>404</v>
      </c>
      <c r="F436" s="5">
        <v>84878</v>
      </c>
      <c r="G436" s="5">
        <v>13273</v>
      </c>
      <c r="H436" s="48">
        <f t="shared" si="10"/>
        <v>0.1563773887226372</v>
      </c>
      <c r="I436" s="52">
        <f t="shared" si="11"/>
        <v>0.0020495226942213434</v>
      </c>
    </row>
    <row r="437" spans="2:9" ht="12.75">
      <c r="B437" t="s">
        <v>405</v>
      </c>
      <c r="F437" s="5">
        <v>11800</v>
      </c>
      <c r="G437" s="5">
        <v>3671</v>
      </c>
      <c r="H437" s="48">
        <f t="shared" si="10"/>
        <v>0.31110169491525425</v>
      </c>
      <c r="I437" s="52">
        <f t="shared" si="11"/>
        <v>0.0005668498312730017</v>
      </c>
    </row>
    <row r="438" spans="2:9" ht="12.75">
      <c r="B438" t="s">
        <v>406</v>
      </c>
      <c r="F438" s="5">
        <v>8540</v>
      </c>
      <c r="G438" s="5">
        <v>8540</v>
      </c>
      <c r="H438" s="48">
        <f t="shared" si="10"/>
        <v>1</v>
      </c>
      <c r="I438" s="52">
        <f t="shared" si="11"/>
        <v>0.001318686341343349</v>
      </c>
    </row>
    <row r="439" spans="2:9" ht="13.5" customHeight="1">
      <c r="B439" s="39" t="s">
        <v>407</v>
      </c>
      <c r="F439" s="5">
        <v>5000</v>
      </c>
      <c r="G439" s="5">
        <v>0</v>
      </c>
      <c r="H439" s="48">
        <f t="shared" si="10"/>
        <v>0</v>
      </c>
      <c r="I439" s="52">
        <f t="shared" si="11"/>
        <v>0</v>
      </c>
    </row>
    <row r="440" spans="2:9" ht="12.75">
      <c r="B440" t="s">
        <v>408</v>
      </c>
      <c r="F440" s="5">
        <v>1000</v>
      </c>
      <c r="G440" s="5">
        <v>250</v>
      </c>
      <c r="H440" s="48">
        <f t="shared" si="10"/>
        <v>0.25</v>
      </c>
      <c r="I440" s="52">
        <f t="shared" si="11"/>
        <v>3.860323013300203E-05</v>
      </c>
    </row>
    <row r="441" spans="2:9" ht="12.75">
      <c r="B441" t="s">
        <v>409</v>
      </c>
      <c r="F441" s="5"/>
      <c r="G441" s="5"/>
      <c r="I441" s="52"/>
    </row>
    <row r="442" spans="2:9" ht="12.75">
      <c r="B442" t="s">
        <v>410</v>
      </c>
      <c r="F442" s="5">
        <f>30000+24000+14000</f>
        <v>68000</v>
      </c>
      <c r="G442" s="5">
        <f>7301+322+6924</f>
        <v>14547</v>
      </c>
      <c r="H442" s="48">
        <f t="shared" si="10"/>
        <v>0.2139264705882353</v>
      </c>
      <c r="I442" s="52">
        <f>G442/G$528</f>
        <v>0.002246244754979122</v>
      </c>
    </row>
    <row r="443" spans="6:9" ht="12.75">
      <c r="F443" s="5"/>
      <c r="G443" s="5"/>
      <c r="I443" s="52"/>
    </row>
    <row r="444" spans="6:9" ht="12.75">
      <c r="F444" s="5"/>
      <c r="G444" s="5"/>
      <c r="I444" s="52"/>
    </row>
    <row r="445" spans="6:9" ht="12.75">
      <c r="F445" s="5"/>
      <c r="G445" s="5"/>
      <c r="I445" s="52"/>
    </row>
    <row r="446" spans="1:9" s="3" customFormat="1" ht="12.75">
      <c r="A446" s="3" t="s">
        <v>108</v>
      </c>
      <c r="B446" s="3" t="s">
        <v>104</v>
      </c>
      <c r="D446" s="10"/>
      <c r="F446" s="4">
        <f>SUM(F447:F452)</f>
        <v>514000</v>
      </c>
      <c r="G446" s="4">
        <f>SUM(G447:G452)</f>
        <v>346750</v>
      </c>
      <c r="H446" s="51">
        <f>G446/F446</f>
        <v>0.6746108949416343</v>
      </c>
      <c r="I446" s="54">
        <f>G446/G$528</f>
        <v>0.05354268019447381</v>
      </c>
    </row>
    <row r="447" spans="2:9" s="3" customFormat="1" ht="12.75">
      <c r="B447" t="s">
        <v>105</v>
      </c>
      <c r="D447" s="10"/>
      <c r="F447" s="25">
        <v>240000</v>
      </c>
      <c r="G447" s="25">
        <v>175000</v>
      </c>
      <c r="H447" s="48">
        <f>G447/F447</f>
        <v>0.7291666666666666</v>
      </c>
      <c r="I447" s="52">
        <f>G447/G$528</f>
        <v>0.027022261093101418</v>
      </c>
    </row>
    <row r="448" spans="2:9" ht="12.75">
      <c r="B448" t="s">
        <v>106</v>
      </c>
      <c r="F448" s="25">
        <v>202000</v>
      </c>
      <c r="G448" s="25">
        <v>101750</v>
      </c>
      <c r="H448" s="48">
        <f>G448/F448</f>
        <v>0.5037128712871287</v>
      </c>
      <c r="I448" s="52">
        <f>G448/G$528</f>
        <v>0.015711514664131825</v>
      </c>
    </row>
    <row r="449" spans="2:9" ht="12.75">
      <c r="B449" t="s">
        <v>248</v>
      </c>
      <c r="F449" s="5">
        <v>30000</v>
      </c>
      <c r="G449" s="5">
        <v>30000</v>
      </c>
      <c r="H449" s="48">
        <f>G449/F449</f>
        <v>1</v>
      </c>
      <c r="I449" s="52">
        <f>G449/G$528</f>
        <v>0.004632387615960243</v>
      </c>
    </row>
    <row r="450" spans="2:9" ht="12.75">
      <c r="B450" t="s">
        <v>249</v>
      </c>
      <c r="F450" s="5">
        <v>40000</v>
      </c>
      <c r="G450" s="5">
        <v>40000</v>
      </c>
      <c r="H450" s="48">
        <f>G450/F450</f>
        <v>1</v>
      </c>
      <c r="I450" s="52">
        <f>G450/G$528</f>
        <v>0.006176516821280324</v>
      </c>
    </row>
    <row r="451" spans="2:9" ht="12.75">
      <c r="B451" t="s">
        <v>411</v>
      </c>
      <c r="F451" s="5"/>
      <c r="G451" s="5"/>
      <c r="I451" s="52"/>
    </row>
    <row r="452" spans="2:9" ht="12.75">
      <c r="B452" t="s">
        <v>412</v>
      </c>
      <c r="F452" s="5">
        <v>2000</v>
      </c>
      <c r="G452" s="5">
        <v>0</v>
      </c>
      <c r="H452" s="48">
        <f>G452/F452</f>
        <v>0</v>
      </c>
      <c r="I452" s="52">
        <f>G452/G$528</f>
        <v>0</v>
      </c>
    </row>
    <row r="453" spans="6:9" ht="12.75">
      <c r="F453" s="5"/>
      <c r="G453" s="5"/>
      <c r="I453" s="52"/>
    </row>
    <row r="454" spans="1:9" s="3" customFormat="1" ht="12.75">
      <c r="A454" s="3" t="s">
        <v>107</v>
      </c>
      <c r="B454" s="3" t="s">
        <v>28</v>
      </c>
      <c r="D454" s="10"/>
      <c r="F454" s="4">
        <f>SUM(F457:F465)</f>
        <v>100000</v>
      </c>
      <c r="G454" s="4">
        <f>SUM(G457:G465)</f>
        <v>72000</v>
      </c>
      <c r="H454" s="51">
        <f>G454/F454</f>
        <v>0.72</v>
      </c>
      <c r="I454" s="54">
        <f>G454/G$528</f>
        <v>0.011117730278304584</v>
      </c>
    </row>
    <row r="455" spans="2:9" ht="12.75">
      <c r="B455" t="s">
        <v>415</v>
      </c>
      <c r="F455" s="5"/>
      <c r="G455" s="5"/>
      <c r="I455" s="52"/>
    </row>
    <row r="456" spans="2:9" ht="12.75">
      <c r="B456" t="s">
        <v>413</v>
      </c>
      <c r="F456" s="5"/>
      <c r="G456" s="5"/>
      <c r="I456" s="52"/>
    </row>
    <row r="457" spans="2:9" ht="12.75">
      <c r="B457" t="s">
        <v>414</v>
      </c>
      <c r="F457" s="5">
        <v>20000</v>
      </c>
      <c r="G457" s="5">
        <v>20000</v>
      </c>
      <c r="H457" s="48">
        <f>G457/F457</f>
        <v>1</v>
      </c>
      <c r="I457" s="52">
        <f>G457/G$528</f>
        <v>0.003088258410640162</v>
      </c>
    </row>
    <row r="458" spans="2:9" ht="12.75">
      <c r="B458" t="s">
        <v>419</v>
      </c>
      <c r="F458" s="5"/>
      <c r="G458" s="5"/>
      <c r="I458" s="52"/>
    </row>
    <row r="459" spans="2:9" ht="12.75">
      <c r="B459" t="s">
        <v>420</v>
      </c>
      <c r="F459" s="5"/>
      <c r="G459" s="5"/>
      <c r="I459" s="52"/>
    </row>
    <row r="460" spans="2:9" ht="12.75">
      <c r="B460" t="s">
        <v>421</v>
      </c>
      <c r="F460" s="5"/>
      <c r="G460" s="5"/>
      <c r="I460" s="52"/>
    </row>
    <row r="461" spans="2:9" ht="12.75">
      <c r="B461" t="s">
        <v>422</v>
      </c>
      <c r="F461" s="5">
        <v>30000</v>
      </c>
      <c r="G461" s="5">
        <v>30000</v>
      </c>
      <c r="H461" s="48">
        <f>G461/F461</f>
        <v>1</v>
      </c>
      <c r="I461" s="48">
        <f>H461/G461</f>
        <v>3.3333333333333335E-05</v>
      </c>
    </row>
    <row r="462" spans="2:9" ht="12.75">
      <c r="B462" t="s">
        <v>418</v>
      </c>
      <c r="F462" s="5"/>
      <c r="G462" s="5"/>
      <c r="I462" s="52"/>
    </row>
    <row r="463" spans="2:9" ht="12.75">
      <c r="B463" t="s">
        <v>416</v>
      </c>
      <c r="F463" s="5"/>
      <c r="G463" s="5"/>
      <c r="I463" s="52"/>
    </row>
    <row r="464" spans="2:9" ht="12.75">
      <c r="B464" t="s">
        <v>417</v>
      </c>
      <c r="F464" s="5">
        <v>22000</v>
      </c>
      <c r="G464" s="5">
        <v>22000</v>
      </c>
      <c r="H464" s="48">
        <f>G464/F464</f>
        <v>1</v>
      </c>
      <c r="I464" s="48">
        <f>H464/G464</f>
        <v>4.545454545454545E-05</v>
      </c>
    </row>
    <row r="465" spans="2:9" ht="12.75">
      <c r="B465" t="s">
        <v>423</v>
      </c>
      <c r="F465" s="5">
        <v>28000</v>
      </c>
      <c r="G465" s="5">
        <v>0</v>
      </c>
      <c r="H465" s="48">
        <f>G465/F465</f>
        <v>0</v>
      </c>
      <c r="I465" s="48"/>
    </row>
    <row r="466" spans="6:9" ht="12.75">
      <c r="F466" s="5"/>
      <c r="G466" s="5"/>
      <c r="I466" s="52"/>
    </row>
    <row r="467" spans="1:9" s="14" customFormat="1" ht="15">
      <c r="A467" s="7" t="s">
        <v>32</v>
      </c>
      <c r="B467" s="7"/>
      <c r="C467" s="7"/>
      <c r="D467" s="16"/>
      <c r="E467" s="7"/>
      <c r="F467" s="12">
        <f>F470+F475+F482+F487+F495+F502+F508+F514+F525</f>
        <v>7629437</v>
      </c>
      <c r="G467" s="12">
        <f>G470+G475+G482+G487+G495+G502+G508+G514+G525</f>
        <v>115326</v>
      </c>
      <c r="H467" s="53">
        <f>G467/F467</f>
        <v>0.015115925329745825</v>
      </c>
      <c r="I467" s="53">
        <f>G467/G$528</f>
        <v>0.017807824473274367</v>
      </c>
    </row>
    <row r="468" spans="1:9" ht="12.75">
      <c r="A468" s="3" t="s">
        <v>14</v>
      </c>
      <c r="F468" s="5"/>
      <c r="G468" s="5"/>
      <c r="I468" s="52"/>
    </row>
    <row r="469" spans="1:9" ht="12.75">
      <c r="A469" s="3"/>
      <c r="F469" s="5"/>
      <c r="G469" s="5"/>
      <c r="I469" s="52"/>
    </row>
    <row r="470" spans="1:9" s="21" customFormat="1" ht="12.75">
      <c r="A470" s="21" t="s">
        <v>134</v>
      </c>
      <c r="B470" s="21" t="s">
        <v>35</v>
      </c>
      <c r="D470" s="22"/>
      <c r="F470" s="24">
        <f>SUM(F471:F473)</f>
        <v>361100</v>
      </c>
      <c r="G470" s="24">
        <f>SUM(G471:G473)</f>
        <v>0</v>
      </c>
      <c r="H470" s="51">
        <f>G470/F470</f>
        <v>0</v>
      </c>
      <c r="I470" s="54">
        <f>G470/G$528</f>
        <v>0</v>
      </c>
    </row>
    <row r="471" spans="1:9" ht="12.75">
      <c r="A471" s="3"/>
      <c r="B471" t="s">
        <v>424</v>
      </c>
      <c r="F471" s="5">
        <v>211100</v>
      </c>
      <c r="G471" s="5">
        <v>0</v>
      </c>
      <c r="I471" s="52"/>
    </row>
    <row r="472" spans="1:9" ht="12.75">
      <c r="A472" s="3"/>
      <c r="B472" t="s">
        <v>284</v>
      </c>
      <c r="F472" s="5"/>
      <c r="G472" s="5"/>
      <c r="I472" s="52"/>
    </row>
    <row r="473" spans="1:9" ht="12.75">
      <c r="A473" s="3"/>
      <c r="B473" t="s">
        <v>425</v>
      </c>
      <c r="F473" s="5">
        <v>150000</v>
      </c>
      <c r="G473" s="5">
        <v>0</v>
      </c>
      <c r="I473" s="52"/>
    </row>
    <row r="474" spans="6:9" ht="12.75">
      <c r="F474" s="5"/>
      <c r="G474" s="5"/>
      <c r="I474" s="52"/>
    </row>
    <row r="475" spans="1:9" s="21" customFormat="1" ht="12.75">
      <c r="A475" s="21" t="s">
        <v>71</v>
      </c>
      <c r="B475" s="21" t="s">
        <v>72</v>
      </c>
      <c r="D475" s="22"/>
      <c r="F475" s="24">
        <f>SUM(F478:F481)</f>
        <v>460000</v>
      </c>
      <c r="G475" s="24">
        <f>SUM(G478:G481)</f>
        <v>0</v>
      </c>
      <c r="H475" s="51">
        <f>G475/F475</f>
        <v>0</v>
      </c>
      <c r="I475" s="54">
        <f>G475/G$528</f>
        <v>0</v>
      </c>
    </row>
    <row r="476" spans="2:9" ht="12.75">
      <c r="B476" t="s">
        <v>429</v>
      </c>
      <c r="F476" s="5"/>
      <c r="G476" s="5"/>
      <c r="I476" s="52"/>
    </row>
    <row r="477" spans="2:9" ht="12.75">
      <c r="B477" t="s">
        <v>426</v>
      </c>
      <c r="F477" s="5"/>
      <c r="G477" s="5"/>
      <c r="I477" s="52"/>
    </row>
    <row r="478" spans="1:9" ht="12.75">
      <c r="A478" t="s">
        <v>427</v>
      </c>
      <c r="B478" t="s">
        <v>428</v>
      </c>
      <c r="F478" s="5">
        <v>400000</v>
      </c>
      <c r="G478" s="5">
        <v>0</v>
      </c>
      <c r="I478" s="52"/>
    </row>
    <row r="479" spans="2:9" ht="12.75">
      <c r="B479" t="s">
        <v>430</v>
      </c>
      <c r="F479" s="5"/>
      <c r="G479" s="5"/>
      <c r="I479" s="52"/>
    </row>
    <row r="480" spans="2:9" ht="12.75">
      <c r="B480" t="s">
        <v>431</v>
      </c>
      <c r="F480" s="5">
        <v>30000</v>
      </c>
      <c r="G480" s="5">
        <v>0</v>
      </c>
      <c r="I480" s="52"/>
    </row>
    <row r="481" spans="2:9" ht="12.75">
      <c r="B481" t="s">
        <v>432</v>
      </c>
      <c r="F481" s="5">
        <v>30000</v>
      </c>
      <c r="G481" s="5">
        <v>0</v>
      </c>
      <c r="I481" s="52"/>
    </row>
    <row r="482" spans="1:9" s="21" customFormat="1" ht="12.75">
      <c r="A482" s="21" t="s">
        <v>36</v>
      </c>
      <c r="B482" s="21" t="s">
        <v>37</v>
      </c>
      <c r="D482" s="22"/>
      <c r="F482" s="24">
        <f>SUM(F483:F485)</f>
        <v>262000</v>
      </c>
      <c r="G482" s="24">
        <f>SUM(G483:G485)</f>
        <v>0</v>
      </c>
      <c r="H482" s="51"/>
      <c r="I482" s="54"/>
    </row>
    <row r="483" spans="2:9" ht="12.75">
      <c r="B483" t="s">
        <v>433</v>
      </c>
      <c r="F483" s="5">
        <v>250000</v>
      </c>
      <c r="G483" s="5">
        <v>0</v>
      </c>
      <c r="I483" s="52"/>
    </row>
    <row r="484" spans="2:9" ht="12.75">
      <c r="B484" t="s">
        <v>434</v>
      </c>
      <c r="F484" s="5"/>
      <c r="G484" s="5"/>
      <c r="I484" s="52"/>
    </row>
    <row r="485" spans="2:9" ht="12.75">
      <c r="B485" t="s">
        <v>435</v>
      </c>
      <c r="F485" s="5">
        <v>12000</v>
      </c>
      <c r="G485" s="5">
        <v>0</v>
      </c>
      <c r="I485" s="52"/>
    </row>
    <row r="486" spans="6:9" ht="12.75">
      <c r="F486" s="5"/>
      <c r="G486" s="5"/>
      <c r="I486" s="52"/>
    </row>
    <row r="487" spans="1:9" s="21" customFormat="1" ht="12.75">
      <c r="A487" s="21" t="s">
        <v>38</v>
      </c>
      <c r="B487" s="21" t="s">
        <v>39</v>
      </c>
      <c r="D487" s="22"/>
      <c r="F487" s="24">
        <f>SUM(F488:F493)</f>
        <v>185000</v>
      </c>
      <c r="G487" s="24">
        <f>SUM(G488:G493)</f>
        <v>0</v>
      </c>
      <c r="H487" s="51"/>
      <c r="I487" s="54"/>
    </row>
    <row r="488" spans="2:9" s="20" customFormat="1" ht="12.75">
      <c r="B488" s="20" t="s">
        <v>436</v>
      </c>
      <c r="D488" s="28"/>
      <c r="F488" s="25">
        <v>100000</v>
      </c>
      <c r="G488" s="25">
        <v>0</v>
      </c>
      <c r="H488" s="48"/>
      <c r="I488" s="52"/>
    </row>
    <row r="489" spans="2:9" s="20" customFormat="1" ht="12.75">
      <c r="B489" t="s">
        <v>437</v>
      </c>
      <c r="D489" s="28"/>
      <c r="F489" s="25"/>
      <c r="G489" s="25"/>
      <c r="H489" s="48"/>
      <c r="I489" s="52"/>
    </row>
    <row r="490" spans="2:9" s="20" customFormat="1" ht="12.75">
      <c r="B490" s="20" t="s">
        <v>438</v>
      </c>
      <c r="D490" s="28"/>
      <c r="F490" s="25">
        <v>20000</v>
      </c>
      <c r="G490" s="25">
        <v>0</v>
      </c>
      <c r="H490" s="48"/>
      <c r="I490" s="52"/>
    </row>
    <row r="491" spans="2:9" ht="12.75">
      <c r="B491" t="s">
        <v>439</v>
      </c>
      <c r="F491" s="5">
        <v>50000</v>
      </c>
      <c r="G491" s="5">
        <v>0</v>
      </c>
      <c r="I491" s="52"/>
    </row>
    <row r="492" spans="2:9" ht="12.75">
      <c r="B492" t="s">
        <v>440</v>
      </c>
      <c r="F492" s="5"/>
      <c r="G492" s="5"/>
      <c r="I492" s="52"/>
    </row>
    <row r="493" spans="2:9" ht="12.75">
      <c r="B493" t="s">
        <v>441</v>
      </c>
      <c r="F493" s="5">
        <v>15000</v>
      </c>
      <c r="G493" s="5">
        <v>0</v>
      </c>
      <c r="I493" s="52"/>
    </row>
    <row r="494" spans="6:9" ht="12.75">
      <c r="F494" s="5"/>
      <c r="G494" s="5"/>
      <c r="I494" s="52"/>
    </row>
    <row r="495" spans="1:9" s="21" customFormat="1" ht="12.75">
      <c r="A495" s="21" t="s">
        <v>46</v>
      </c>
      <c r="B495" s="21" t="s">
        <v>47</v>
      </c>
      <c r="D495" s="22"/>
      <c r="F495" s="24">
        <f>F496</f>
        <v>15000</v>
      </c>
      <c r="G495" s="24">
        <f>G496</f>
        <v>0</v>
      </c>
      <c r="H495" s="51"/>
      <c r="I495" s="54"/>
    </row>
    <row r="496" spans="2:9" ht="12.75">
      <c r="B496" t="s">
        <v>285</v>
      </c>
      <c r="F496" s="5">
        <v>15000</v>
      </c>
      <c r="G496" s="5">
        <v>0</v>
      </c>
      <c r="I496" s="52"/>
    </row>
    <row r="497" spans="4:9" s="20" customFormat="1" ht="12.75">
      <c r="D497" s="28"/>
      <c r="F497" s="25"/>
      <c r="G497" s="25"/>
      <c r="H497" s="48"/>
      <c r="I497" s="52"/>
    </row>
    <row r="498" spans="4:9" s="20" customFormat="1" ht="12.75">
      <c r="D498" s="28"/>
      <c r="F498" s="25"/>
      <c r="G498" s="25"/>
      <c r="H498" s="48"/>
      <c r="I498" s="52"/>
    </row>
    <row r="499" spans="4:9" s="20" customFormat="1" ht="12.75">
      <c r="D499" s="28"/>
      <c r="F499" s="25"/>
      <c r="G499" s="25"/>
      <c r="H499" s="48"/>
      <c r="I499" s="52"/>
    </row>
    <row r="500" spans="4:9" s="20" customFormat="1" ht="12.75">
      <c r="D500" s="28"/>
      <c r="F500" s="25"/>
      <c r="G500" s="25"/>
      <c r="H500" s="48"/>
      <c r="I500" s="52"/>
    </row>
    <row r="501" spans="4:9" s="20" customFormat="1" ht="12.75">
      <c r="D501" s="28"/>
      <c r="F501" s="25"/>
      <c r="G501" s="25"/>
      <c r="H501" s="48"/>
      <c r="I501" s="52"/>
    </row>
    <row r="502" spans="1:9" s="21" customFormat="1" ht="12.75">
      <c r="A502" s="21" t="s">
        <v>62</v>
      </c>
      <c r="B502" s="21" t="s">
        <v>4</v>
      </c>
      <c r="D502" s="22"/>
      <c r="F502" s="24">
        <f>SUM(F503:F506)</f>
        <v>242815</v>
      </c>
      <c r="G502" s="24">
        <f>SUM(G503:G506)</f>
        <v>71450</v>
      </c>
      <c r="H502" s="51">
        <f>G502/F502</f>
        <v>0.2942569445874431</v>
      </c>
      <c r="I502" s="54">
        <f>G502/G$528</f>
        <v>0.011032803172011978</v>
      </c>
    </row>
    <row r="503" spans="2:9" ht="12.75">
      <c r="B503" t="s">
        <v>442</v>
      </c>
      <c r="F503" s="5">
        <v>7800</v>
      </c>
      <c r="G503" s="5">
        <v>0</v>
      </c>
      <c r="I503" s="52"/>
    </row>
    <row r="504" spans="2:9" ht="12.75">
      <c r="B504" t="s">
        <v>443</v>
      </c>
      <c r="F504" s="5"/>
      <c r="G504" s="5"/>
      <c r="I504" s="52"/>
    </row>
    <row r="505" spans="2:9" ht="12.75">
      <c r="B505" t="s">
        <v>444</v>
      </c>
      <c r="F505" s="5">
        <v>9500</v>
      </c>
      <c r="G505" s="5">
        <v>0</v>
      </c>
      <c r="I505" s="52"/>
    </row>
    <row r="506" spans="2:9" ht="12.75">
      <c r="B506" t="s">
        <v>286</v>
      </c>
      <c r="F506" s="5">
        <v>225515</v>
      </c>
      <c r="G506" s="5">
        <v>71450</v>
      </c>
      <c r="H506" s="48">
        <f>G506/F506</f>
        <v>0.31683036605103876</v>
      </c>
      <c r="I506" s="52">
        <f>G506/G$528</f>
        <v>0.011032803172011978</v>
      </c>
    </row>
    <row r="507" spans="6:9" ht="12.75">
      <c r="F507" s="5"/>
      <c r="G507" s="5"/>
      <c r="I507" s="52"/>
    </row>
    <row r="508" spans="1:9" s="21" customFormat="1" ht="12.75">
      <c r="A508" s="21" t="s">
        <v>95</v>
      </c>
      <c r="B508" s="21" t="s">
        <v>27</v>
      </c>
      <c r="D508" s="22"/>
      <c r="F508" s="24">
        <f>SUM(F509:F511)</f>
        <v>58000</v>
      </c>
      <c r="G508" s="24">
        <f>SUM(G509:G511)</f>
        <v>9200</v>
      </c>
      <c r="H508" s="51">
        <f>G508/F508</f>
        <v>0.15862068965517243</v>
      </c>
      <c r="I508" s="54">
        <f>G508/G$528</f>
        <v>0.0014205988688944745</v>
      </c>
    </row>
    <row r="509" spans="2:9" ht="12.75">
      <c r="B509" t="s">
        <v>287</v>
      </c>
      <c r="F509" s="5">
        <v>15000</v>
      </c>
      <c r="G509" s="5">
        <v>5000</v>
      </c>
      <c r="H509" s="48">
        <f>G509/F509</f>
        <v>0.3333333333333333</v>
      </c>
      <c r="I509" s="52">
        <f>G509/G$528</f>
        <v>0.0007720646026600405</v>
      </c>
    </row>
    <row r="510" spans="2:9" ht="12.75">
      <c r="B510" t="s">
        <v>445</v>
      </c>
      <c r="F510" s="5">
        <v>25000</v>
      </c>
      <c r="G510" s="5">
        <v>0</v>
      </c>
      <c r="I510" s="52"/>
    </row>
    <row r="511" spans="2:9" ht="12.75">
      <c r="B511" t="s">
        <v>446</v>
      </c>
      <c r="F511" s="5">
        <v>18000</v>
      </c>
      <c r="G511" s="5">
        <v>4200</v>
      </c>
      <c r="H511" s="48">
        <f>G511/F511</f>
        <v>0.23333333333333334</v>
      </c>
      <c r="I511" s="52">
        <f>G511/G$528</f>
        <v>0.000648534266234434</v>
      </c>
    </row>
    <row r="512" spans="6:9" ht="12.75" customHeight="1">
      <c r="F512" s="5"/>
      <c r="G512" s="5"/>
      <c r="I512" s="52"/>
    </row>
    <row r="513" spans="1:9" s="21" customFormat="1" ht="12.75" customHeight="1">
      <c r="A513" s="21" t="s">
        <v>66</v>
      </c>
      <c r="B513" s="21" t="s">
        <v>320</v>
      </c>
      <c r="D513" s="22"/>
      <c r="F513" s="24"/>
      <c r="G513" s="24"/>
      <c r="H513" s="51"/>
      <c r="I513" s="54"/>
    </row>
    <row r="514" spans="2:9" s="21" customFormat="1" ht="12.75" customHeight="1">
      <c r="B514" s="21" t="s">
        <v>68</v>
      </c>
      <c r="D514" s="22"/>
      <c r="F514" s="24">
        <f>SUM(F515:F523)</f>
        <v>1045522</v>
      </c>
      <c r="G514" s="24">
        <f>SUM(G515:G523)</f>
        <v>28574</v>
      </c>
      <c r="H514" s="51">
        <f>G514/F514</f>
        <v>0.0273298888019573</v>
      </c>
      <c r="I514" s="54">
        <f>G514/G$528</f>
        <v>0.0044121947912816</v>
      </c>
    </row>
    <row r="515" spans="2:9" s="21" customFormat="1" ht="12.75" customHeight="1">
      <c r="B515" s="20" t="s">
        <v>447</v>
      </c>
      <c r="D515" s="22"/>
      <c r="F515" s="25">
        <v>400000</v>
      </c>
      <c r="G515" s="25">
        <v>0</v>
      </c>
      <c r="H515" s="48"/>
      <c r="I515" s="52"/>
    </row>
    <row r="516" spans="2:9" s="21" customFormat="1" ht="12.75" customHeight="1">
      <c r="B516" t="s">
        <v>450</v>
      </c>
      <c r="C516"/>
      <c r="D516" s="6"/>
      <c r="F516" s="25">
        <v>10122</v>
      </c>
      <c r="G516" s="25">
        <v>10121</v>
      </c>
      <c r="H516" s="48">
        <f>G516/F516</f>
        <v>0.9999012052953962</v>
      </c>
      <c r="I516" s="52">
        <f>G516/G$528</f>
        <v>0.001562813168704454</v>
      </c>
    </row>
    <row r="517" spans="2:9" s="21" customFormat="1" ht="12.75" customHeight="1">
      <c r="B517" s="20" t="s">
        <v>451</v>
      </c>
      <c r="D517" s="22"/>
      <c r="F517" s="25"/>
      <c r="G517" s="25"/>
      <c r="H517" s="48"/>
      <c r="I517" s="52"/>
    </row>
    <row r="518" spans="2:9" s="21" customFormat="1" ht="12.75" customHeight="1">
      <c r="B518" s="20" t="s">
        <v>448</v>
      </c>
      <c r="D518" s="22"/>
      <c r="F518" s="25"/>
      <c r="G518" s="25"/>
      <c r="H518" s="48"/>
      <c r="I518" s="52"/>
    </row>
    <row r="519" spans="2:9" s="21" customFormat="1" ht="12.75" customHeight="1">
      <c r="B519" s="20" t="s">
        <v>449</v>
      </c>
      <c r="D519" s="22"/>
      <c r="F519" s="25">
        <v>85400</v>
      </c>
      <c r="G519" s="25">
        <v>0</v>
      </c>
      <c r="H519" s="48"/>
      <c r="I519" s="52"/>
    </row>
    <row r="520" spans="2:9" s="21" customFormat="1" ht="12.75" customHeight="1">
      <c r="B520" s="20" t="s">
        <v>452</v>
      </c>
      <c r="C520" s="20"/>
      <c r="D520" s="28"/>
      <c r="E520" s="20"/>
      <c r="F520" s="25"/>
      <c r="G520" s="25"/>
      <c r="H520" s="48"/>
      <c r="I520" s="52"/>
    </row>
    <row r="521" spans="2:9" s="21" customFormat="1" ht="12.75" customHeight="1">
      <c r="B521" s="20" t="s">
        <v>453</v>
      </c>
      <c r="C521" s="20"/>
      <c r="D521" s="28"/>
      <c r="E521" s="20"/>
      <c r="F521" s="25"/>
      <c r="G521" s="25"/>
      <c r="H521" s="48"/>
      <c r="I521" s="52"/>
    </row>
    <row r="522" spans="2:9" s="21" customFormat="1" ht="12.75" customHeight="1">
      <c r="B522" s="20" t="s">
        <v>454</v>
      </c>
      <c r="C522" s="20"/>
      <c r="D522" s="28"/>
      <c r="E522" s="20"/>
      <c r="F522" s="25">
        <v>500000</v>
      </c>
      <c r="G522" s="25">
        <v>0</v>
      </c>
      <c r="H522" s="48"/>
      <c r="I522" s="52"/>
    </row>
    <row r="523" spans="2:9" ht="12.75" customHeight="1">
      <c r="B523" t="s">
        <v>455</v>
      </c>
      <c r="F523" s="5">
        <v>50000</v>
      </c>
      <c r="G523" s="5">
        <v>18453</v>
      </c>
      <c r="H523" s="48">
        <f>G523/F523</f>
        <v>0.36906</v>
      </c>
      <c r="I523" s="52">
        <f>G523/G$528</f>
        <v>0.0028493816225771454</v>
      </c>
    </row>
    <row r="524" spans="6:9" ht="12.75" customHeight="1">
      <c r="F524" s="5"/>
      <c r="G524" s="5"/>
      <c r="I524" s="52"/>
    </row>
    <row r="525" spans="1:9" s="21" customFormat="1" ht="12.75" customHeight="1">
      <c r="A525" s="21" t="s">
        <v>107</v>
      </c>
      <c r="B525" s="21" t="s">
        <v>28</v>
      </c>
      <c r="D525" s="22"/>
      <c r="F525" s="24">
        <f>F526</f>
        <v>5000000</v>
      </c>
      <c r="G525" s="24">
        <f>G526</f>
        <v>6102</v>
      </c>
      <c r="H525" s="51">
        <f>G525/F525</f>
        <v>0.0012204</v>
      </c>
      <c r="I525" s="54">
        <f>G525/G$528</f>
        <v>0.0009422276410863134</v>
      </c>
    </row>
    <row r="526" spans="2:9" ht="12.75" customHeight="1">
      <c r="B526" t="s">
        <v>288</v>
      </c>
      <c r="F526" s="5">
        <v>5000000</v>
      </c>
      <c r="G526" s="5">
        <v>6102</v>
      </c>
      <c r="H526" s="48">
        <f>G526/F526</f>
        <v>0.0012204</v>
      </c>
      <c r="I526" s="52">
        <f>G526/G$528</f>
        <v>0.0009422276410863134</v>
      </c>
    </row>
    <row r="527" spans="6:9" ht="12.75" customHeight="1">
      <c r="F527" s="5"/>
      <c r="G527" s="5"/>
      <c r="I527" s="52"/>
    </row>
    <row r="528" spans="2:9" s="1" customFormat="1" ht="15">
      <c r="B528" s="1" t="s">
        <v>33</v>
      </c>
      <c r="D528" s="15"/>
      <c r="F528" s="4">
        <f>F467+F224</f>
        <v>21712916</v>
      </c>
      <c r="G528" s="4">
        <f>G467+G224</f>
        <v>6476142</v>
      </c>
      <c r="H528" s="51">
        <f>G528/F528</f>
        <v>0.2982621956442884</v>
      </c>
      <c r="I528" s="54">
        <f>G528/G$528</f>
        <v>1</v>
      </c>
    </row>
    <row r="529" spans="4:9" s="1" customFormat="1" ht="15">
      <c r="D529" s="15"/>
      <c r="F529" s="4"/>
      <c r="G529" s="4"/>
      <c r="H529" s="43"/>
      <c r="I529" s="29"/>
    </row>
    <row r="530" spans="1:9" s="31" customFormat="1" ht="15">
      <c r="A530" s="30" t="s">
        <v>231</v>
      </c>
      <c r="D530" s="32"/>
      <c r="F530" s="32"/>
      <c r="G530" s="32"/>
      <c r="H530" s="44"/>
      <c r="I530" s="33"/>
    </row>
    <row r="531" spans="1:9" s="31" customFormat="1" ht="15">
      <c r="A531" s="30" t="s">
        <v>232</v>
      </c>
      <c r="D531" s="32"/>
      <c r="F531" s="32"/>
      <c r="G531" s="32"/>
      <c r="H531" s="44"/>
      <c r="I531" s="33"/>
    </row>
    <row r="532" spans="1:9" s="31" customFormat="1" ht="15">
      <c r="A532" s="30"/>
      <c r="D532" s="32"/>
      <c r="F532" s="22" t="s">
        <v>137</v>
      </c>
      <c r="G532" s="22" t="s">
        <v>138</v>
      </c>
      <c r="H532" s="44"/>
      <c r="I532" s="33"/>
    </row>
    <row r="533" spans="1:9" s="65" customFormat="1" ht="15">
      <c r="A533" s="65" t="s">
        <v>71</v>
      </c>
      <c r="B533" s="65" t="s">
        <v>233</v>
      </c>
      <c r="D533" s="66"/>
      <c r="F533" s="66"/>
      <c r="G533" s="66"/>
      <c r="H533" s="67"/>
      <c r="I533" s="68"/>
    </row>
    <row r="534" spans="1:9" s="31" customFormat="1" ht="15">
      <c r="A534" s="30"/>
      <c r="D534" s="32"/>
      <c r="F534" s="22"/>
      <c r="G534" s="22"/>
      <c r="H534" s="44"/>
      <c r="I534" s="33"/>
    </row>
    <row r="535" spans="2:8" s="57" customFormat="1" ht="12.75">
      <c r="B535" s="57" t="s">
        <v>458</v>
      </c>
      <c r="D535" s="58"/>
      <c r="F535" s="58">
        <v>91419</v>
      </c>
      <c r="G535" s="58">
        <v>91419</v>
      </c>
      <c r="H535" s="59"/>
    </row>
    <row r="537" spans="2:8" s="57" customFormat="1" ht="12.75">
      <c r="B537" s="57" t="s">
        <v>109</v>
      </c>
      <c r="D537" s="58"/>
      <c r="F537" s="58">
        <f>SUM(F539:F541)</f>
        <v>34000</v>
      </c>
      <c r="G537" s="58">
        <f>SUM(G539:G541)</f>
        <v>23167</v>
      </c>
      <c r="H537" s="59"/>
    </row>
    <row r="538" spans="1:9" s="20" customFormat="1" ht="12.75">
      <c r="A538" s="57"/>
      <c r="B538" s="20" t="s">
        <v>14</v>
      </c>
      <c r="D538" s="28"/>
      <c r="G538" s="28"/>
      <c r="H538" s="48"/>
      <c r="I538" s="26"/>
    </row>
    <row r="539" spans="1:9" s="20" customFormat="1" ht="12.75">
      <c r="A539" s="57"/>
      <c r="B539" s="20" t="s">
        <v>234</v>
      </c>
      <c r="D539" s="28"/>
      <c r="F539" s="28">
        <v>29000</v>
      </c>
      <c r="G539" s="28">
        <v>21104</v>
      </c>
      <c r="H539" s="48"/>
      <c r="I539" s="26"/>
    </row>
    <row r="540" spans="1:9" s="20" customFormat="1" ht="12.75">
      <c r="A540" s="57"/>
      <c r="B540" s="20" t="s">
        <v>235</v>
      </c>
      <c r="D540" s="28"/>
      <c r="F540" s="28">
        <v>1000</v>
      </c>
      <c r="G540" s="28">
        <v>2063</v>
      </c>
      <c r="H540" s="48"/>
      <c r="I540" s="26"/>
    </row>
    <row r="541" spans="1:9" s="20" customFormat="1" ht="12.75">
      <c r="A541" s="57"/>
      <c r="B541" s="20" t="s">
        <v>307</v>
      </c>
      <c r="D541" s="28"/>
      <c r="F541" s="28">
        <v>4000</v>
      </c>
      <c r="G541" s="28">
        <v>0</v>
      </c>
      <c r="H541" s="48"/>
      <c r="I541" s="26"/>
    </row>
    <row r="542" spans="1:9" s="20" customFormat="1" ht="12.75">
      <c r="A542" s="57"/>
      <c r="D542" s="28"/>
      <c r="F542" s="22"/>
      <c r="G542" s="22"/>
      <c r="H542" s="48"/>
      <c r="I542" s="26"/>
    </row>
    <row r="543" spans="2:9" s="57" customFormat="1" ht="12.75">
      <c r="B543" s="57" t="s">
        <v>110</v>
      </c>
      <c r="D543" s="58"/>
      <c r="F543" s="58">
        <f>SUM(F546:F552)</f>
        <v>124419</v>
      </c>
      <c r="G543" s="58">
        <f>SUM(G546:G552)</f>
        <v>38564</v>
      </c>
      <c r="H543" s="59"/>
      <c r="I543" s="60"/>
    </row>
    <row r="544" spans="1:9" s="20" customFormat="1" ht="12.75">
      <c r="A544" s="57"/>
      <c r="B544" s="20" t="s">
        <v>14</v>
      </c>
      <c r="D544" s="28"/>
      <c r="F544" s="22"/>
      <c r="G544" s="22"/>
      <c r="H544" s="48"/>
      <c r="I544" s="26"/>
    </row>
    <row r="545" spans="1:9" s="20" customFormat="1" ht="12.75">
      <c r="A545" s="57"/>
      <c r="B545" s="20" t="s">
        <v>459</v>
      </c>
      <c r="D545" s="28"/>
      <c r="F545" s="22"/>
      <c r="G545" s="22"/>
      <c r="H545" s="48"/>
      <c r="I545" s="26"/>
    </row>
    <row r="546" spans="1:9" s="20" customFormat="1" ht="12.75">
      <c r="A546" s="57"/>
      <c r="B546" s="20" t="s">
        <v>460</v>
      </c>
      <c r="D546" s="28"/>
      <c r="F546" s="28">
        <v>42050</v>
      </c>
      <c r="G546" s="28">
        <v>36976</v>
      </c>
      <c r="H546" s="48"/>
      <c r="I546" s="26"/>
    </row>
    <row r="547" spans="1:9" s="20" customFormat="1" ht="12.75">
      <c r="A547" s="57"/>
      <c r="B547" s="20" t="s">
        <v>461</v>
      </c>
      <c r="D547" s="28"/>
      <c r="F547" s="28">
        <v>23069</v>
      </c>
      <c r="G547" s="28">
        <f>1516+4517-4517</f>
        <v>1516</v>
      </c>
      <c r="H547" s="48"/>
      <c r="I547" s="26"/>
    </row>
    <row r="548" spans="1:9" s="20" customFormat="1" ht="12.75">
      <c r="A548" s="57"/>
      <c r="B548" s="20" t="s">
        <v>462</v>
      </c>
      <c r="D548" s="28"/>
      <c r="F548" s="28">
        <v>300</v>
      </c>
      <c r="G548" s="28">
        <v>72</v>
      </c>
      <c r="H548" s="48"/>
      <c r="I548" s="26"/>
    </row>
    <row r="549" spans="1:9" s="20" customFormat="1" ht="12.75">
      <c r="A549" s="57"/>
      <c r="B549" s="20" t="s">
        <v>463</v>
      </c>
      <c r="D549" s="28"/>
      <c r="F549" s="28"/>
      <c r="G549" s="28"/>
      <c r="H549" s="48"/>
      <c r="I549" s="26"/>
    </row>
    <row r="550" spans="1:9" s="20" customFormat="1" ht="12.75">
      <c r="A550" s="57"/>
      <c r="B550" s="20" t="s">
        <v>464</v>
      </c>
      <c r="D550" s="28"/>
      <c r="F550" s="28"/>
      <c r="G550" s="28"/>
      <c r="H550" s="48"/>
      <c r="I550" s="26"/>
    </row>
    <row r="551" spans="1:9" s="20" customFormat="1" ht="12.75">
      <c r="A551" s="57"/>
      <c r="B551" s="20" t="s">
        <v>465</v>
      </c>
      <c r="D551" s="28"/>
      <c r="F551" s="28">
        <v>50000</v>
      </c>
      <c r="G551" s="28">
        <v>0</v>
      </c>
      <c r="H551" s="48"/>
      <c r="I551" s="26"/>
    </row>
    <row r="552" spans="1:9" s="20" customFormat="1" ht="12.75">
      <c r="A552" s="57"/>
      <c r="B552" s="20" t="s">
        <v>466</v>
      </c>
      <c r="D552" s="28"/>
      <c r="F552" s="28">
        <v>9000</v>
      </c>
      <c r="G552" s="28">
        <v>0</v>
      </c>
      <c r="H552" s="48"/>
      <c r="I552" s="26"/>
    </row>
    <row r="553" spans="1:9" s="20" customFormat="1" ht="12.75">
      <c r="A553" s="57"/>
      <c r="D553" s="28"/>
      <c r="F553" s="28"/>
      <c r="G553" s="28"/>
      <c r="H553" s="48"/>
      <c r="I553" s="26"/>
    </row>
    <row r="554" spans="1:9" s="20" customFormat="1" ht="14.25" customHeight="1">
      <c r="A554" s="57"/>
      <c r="B554" s="57" t="s">
        <v>467</v>
      </c>
      <c r="D554" s="28"/>
      <c r="F554" s="58">
        <v>1000</v>
      </c>
      <c r="G554" s="58">
        <v>76022</v>
      </c>
      <c r="H554" s="48"/>
      <c r="I554" s="26"/>
    </row>
    <row r="555" spans="1:9" s="20" customFormat="1" ht="14.25" customHeight="1">
      <c r="A555" s="57"/>
      <c r="B555" s="57"/>
      <c r="D555" s="28"/>
      <c r="F555" s="58"/>
      <c r="G555" s="58"/>
      <c r="H555" s="48"/>
      <c r="I555" s="26"/>
    </row>
    <row r="556" spans="1:9" s="65" customFormat="1" ht="15">
      <c r="A556" s="65" t="s">
        <v>66</v>
      </c>
      <c r="B556" s="65" t="s">
        <v>112</v>
      </c>
      <c r="D556" s="66"/>
      <c r="E556" s="66"/>
      <c r="F556" s="66"/>
      <c r="G556" s="66"/>
      <c r="H556" s="42"/>
      <c r="I556" s="35"/>
    </row>
    <row r="557" spans="2:8" s="57" customFormat="1" ht="12.75">
      <c r="B557" s="57" t="s">
        <v>458</v>
      </c>
      <c r="D557" s="58"/>
      <c r="E557" s="58"/>
      <c r="F557" s="58">
        <v>-52758</v>
      </c>
      <c r="G557" s="58">
        <v>-52758</v>
      </c>
      <c r="H557" s="59"/>
    </row>
    <row r="558" ht="12.75">
      <c r="E558" s="6"/>
    </row>
    <row r="559" spans="2:8" s="57" customFormat="1" ht="12.75">
      <c r="B559" s="57" t="s">
        <v>109</v>
      </c>
      <c r="D559" s="58"/>
      <c r="E559" s="58"/>
      <c r="F559" s="58">
        <v>3339000</v>
      </c>
      <c r="G559" s="58">
        <f>SUM(G561:G565)</f>
        <v>1014266</v>
      </c>
      <c r="H559" s="59"/>
    </row>
    <row r="560" spans="2:5" ht="12.75">
      <c r="B560" t="s">
        <v>14</v>
      </c>
      <c r="E560" s="6"/>
    </row>
    <row r="561" spans="2:7" ht="12.75">
      <c r="B561" t="s">
        <v>113</v>
      </c>
      <c r="E561" s="6"/>
      <c r="G561" s="6">
        <v>354618</v>
      </c>
    </row>
    <row r="562" spans="2:7" ht="12.75">
      <c r="B562" s="56" t="s">
        <v>114</v>
      </c>
      <c r="E562" s="6"/>
      <c r="G562" s="6">
        <v>623799</v>
      </c>
    </row>
    <row r="563" spans="2:5" ht="12.75">
      <c r="B563" t="s">
        <v>115</v>
      </c>
      <c r="E563" s="6"/>
    </row>
    <row r="564" spans="2:5" ht="12.75">
      <c r="B564" t="s">
        <v>116</v>
      </c>
      <c r="E564" s="6"/>
    </row>
    <row r="565" spans="2:7" ht="12.75">
      <c r="B565" t="s">
        <v>311</v>
      </c>
      <c r="E565" s="6"/>
      <c r="G565" s="6">
        <v>35849</v>
      </c>
    </row>
    <row r="566" ht="12.75">
      <c r="E566" s="6"/>
    </row>
    <row r="567" spans="2:8" s="57" customFormat="1" ht="12.75">
      <c r="B567" s="57" t="s">
        <v>225</v>
      </c>
      <c r="D567" s="58"/>
      <c r="E567" s="58"/>
      <c r="F567" s="58">
        <v>3194500</v>
      </c>
      <c r="G567" s="58">
        <v>1040317</v>
      </c>
      <c r="H567" s="59"/>
    </row>
    <row r="568" spans="2:5" ht="12.75">
      <c r="B568" t="s">
        <v>111</v>
      </c>
      <c r="E568" s="6"/>
    </row>
    <row r="569" spans="2:7" ht="12.75">
      <c r="B569" t="s">
        <v>224</v>
      </c>
      <c r="E569" s="6"/>
      <c r="G569" s="6">
        <f>436557+76832+10462</f>
        <v>523851</v>
      </c>
    </row>
    <row r="570" spans="2:5" ht="12.75">
      <c r="B570" t="s">
        <v>117</v>
      </c>
      <c r="E570" s="6"/>
    </row>
    <row r="571" spans="2:5" ht="12.75">
      <c r="B571" t="s">
        <v>118</v>
      </c>
      <c r="E571" s="6"/>
    </row>
    <row r="572" ht="12.75">
      <c r="B572" t="s">
        <v>119</v>
      </c>
    </row>
    <row r="573" spans="2:7" ht="12.75">
      <c r="B573" t="s">
        <v>120</v>
      </c>
      <c r="E573" s="6"/>
      <c r="G573" s="6">
        <v>85937</v>
      </c>
    </row>
    <row r="574" spans="2:7" ht="12.75">
      <c r="B574" t="s">
        <v>337</v>
      </c>
      <c r="E574" s="6"/>
      <c r="G574" s="6">
        <v>142708</v>
      </c>
    </row>
    <row r="575" spans="2:5" ht="12.75">
      <c r="B575" t="s">
        <v>251</v>
      </c>
      <c r="E575" s="6"/>
    </row>
    <row r="576" spans="2:5" ht="12.75">
      <c r="B576" t="s">
        <v>252</v>
      </c>
      <c r="E576" s="6"/>
    </row>
    <row r="577" spans="2:7" ht="12.75">
      <c r="B577" t="s">
        <v>257</v>
      </c>
      <c r="E577" s="6"/>
      <c r="G577" s="6">
        <v>3982</v>
      </c>
    </row>
    <row r="578" spans="2:5" ht="12.75">
      <c r="B578" t="s">
        <v>253</v>
      </c>
      <c r="E578" s="6"/>
    </row>
    <row r="579" spans="2:5" ht="12.75">
      <c r="B579" t="s">
        <v>254</v>
      </c>
      <c r="E579" s="6"/>
    </row>
    <row r="580" spans="2:5" ht="12.75">
      <c r="B580" t="s">
        <v>255</v>
      </c>
      <c r="E580" s="6"/>
    </row>
    <row r="581" spans="2:7" ht="12.75">
      <c r="B581" t="s">
        <v>256</v>
      </c>
      <c r="E581" s="6"/>
      <c r="G581" s="6">
        <v>73924</v>
      </c>
    </row>
    <row r="582" spans="2:5" ht="12.75">
      <c r="B582" t="s">
        <v>121</v>
      </c>
      <c r="E582" s="6"/>
    </row>
    <row r="583" spans="2:7" ht="12.75">
      <c r="B583" t="s">
        <v>122</v>
      </c>
      <c r="E583" s="6"/>
      <c r="G583" s="6">
        <v>87850</v>
      </c>
    </row>
    <row r="584" spans="2:5" ht="12.75">
      <c r="B584" t="s">
        <v>123</v>
      </c>
      <c r="E584" s="6"/>
    </row>
    <row r="585" spans="2:7" ht="12.75">
      <c r="B585" t="s">
        <v>124</v>
      </c>
      <c r="E585" s="6"/>
      <c r="G585" s="6">
        <v>90430</v>
      </c>
    </row>
    <row r="586" spans="2:7" ht="12.75">
      <c r="B586" t="s">
        <v>338</v>
      </c>
      <c r="E586" s="6"/>
      <c r="G586" s="6">
        <v>6083</v>
      </c>
    </row>
    <row r="587" ht="12.75">
      <c r="B587" t="s">
        <v>487</v>
      </c>
    </row>
    <row r="588" spans="2:7" ht="12.75">
      <c r="B588" s="57" t="s">
        <v>312</v>
      </c>
      <c r="G588" s="58">
        <v>0</v>
      </c>
    </row>
    <row r="589" spans="2:7" ht="12.75">
      <c r="B589" s="57"/>
      <c r="G589" s="58"/>
    </row>
    <row r="590" spans="2:8" s="57" customFormat="1" ht="12.75">
      <c r="B590" s="57" t="s">
        <v>475</v>
      </c>
      <c r="D590" s="58"/>
      <c r="F590" s="58">
        <v>91742</v>
      </c>
      <c r="G590" s="58">
        <v>-78809</v>
      </c>
      <c r="H590" s="59"/>
    </row>
    <row r="591" spans="4:8" s="57" customFormat="1" ht="12.75">
      <c r="D591" s="58"/>
      <c r="F591" s="58"/>
      <c r="G591" s="58"/>
      <c r="H591" s="59"/>
    </row>
    <row r="592" spans="1:9" s="65" customFormat="1" ht="15">
      <c r="A592" s="65" t="s">
        <v>66</v>
      </c>
      <c r="B592" s="65" t="s">
        <v>125</v>
      </c>
      <c r="D592" s="66"/>
      <c r="F592" s="66"/>
      <c r="G592" s="66"/>
      <c r="H592" s="42"/>
      <c r="I592" s="35"/>
    </row>
    <row r="594" spans="2:8" s="57" customFormat="1" ht="12.75">
      <c r="B594" s="57" t="s">
        <v>458</v>
      </c>
      <c r="D594" s="58"/>
      <c r="F594" s="58">
        <v>-16169</v>
      </c>
      <c r="G594" s="58">
        <v>-16169</v>
      </c>
      <c r="H594" s="59"/>
    </row>
    <row r="596" spans="2:8" s="57" customFormat="1" ht="12.75">
      <c r="B596" s="57" t="s">
        <v>109</v>
      </c>
      <c r="D596" s="58"/>
      <c r="F596" s="58">
        <v>2431400</v>
      </c>
      <c r="G596" s="58">
        <v>846122</v>
      </c>
      <c r="H596" s="59"/>
    </row>
    <row r="597" ht="12.75">
      <c r="B597" t="s">
        <v>339</v>
      </c>
    </row>
    <row r="598" ht="12.75">
      <c r="B598" t="s">
        <v>126</v>
      </c>
    </row>
    <row r="599" ht="12.75">
      <c r="B599" t="s">
        <v>127</v>
      </c>
    </row>
    <row r="600" spans="2:7" ht="12.75">
      <c r="B600" t="s">
        <v>128</v>
      </c>
      <c r="E600" s="6"/>
      <c r="F600" s="6">
        <v>2341000</v>
      </c>
      <c r="G600" s="6">
        <v>845065</v>
      </c>
    </row>
    <row r="601" spans="2:7" ht="12.75">
      <c r="B601" t="s">
        <v>476</v>
      </c>
      <c r="E601" s="6"/>
      <c r="F601" s="6">
        <v>90400</v>
      </c>
      <c r="G601" s="6">
        <v>0</v>
      </c>
    </row>
    <row r="602" spans="2:5" ht="12.75">
      <c r="B602" t="s">
        <v>477</v>
      </c>
      <c r="E602" s="6"/>
    </row>
    <row r="603" spans="2:7" ht="12.75">
      <c r="B603" t="s">
        <v>479</v>
      </c>
      <c r="E603" s="6"/>
      <c r="F603" s="6">
        <v>85400</v>
      </c>
      <c r="G603" s="6">
        <v>0</v>
      </c>
    </row>
    <row r="604" spans="2:7" ht="12.75">
      <c r="B604" t="s">
        <v>478</v>
      </c>
      <c r="E604" s="6"/>
      <c r="F604" s="6">
        <v>5000</v>
      </c>
      <c r="G604" s="6">
        <v>0</v>
      </c>
    </row>
    <row r="605" ht="12.75">
      <c r="E605" s="6"/>
    </row>
    <row r="606" spans="2:8" s="57" customFormat="1" ht="12.75">
      <c r="B606" s="57" t="s">
        <v>225</v>
      </c>
      <c r="D606" s="58"/>
      <c r="E606" s="58"/>
      <c r="F606" s="58">
        <v>2431400</v>
      </c>
      <c r="G606" s="58">
        <v>847646</v>
      </c>
      <c r="H606" s="59"/>
    </row>
    <row r="607" spans="2:5" ht="12.75">
      <c r="B607" t="s">
        <v>111</v>
      </c>
      <c r="E607" s="6"/>
    </row>
    <row r="608" spans="2:7" ht="12.75">
      <c r="B608" t="s">
        <v>480</v>
      </c>
      <c r="E608" s="6"/>
      <c r="G608" s="6">
        <f>404226+71153+9850</f>
        <v>485229</v>
      </c>
    </row>
    <row r="609" spans="2:5" ht="12.75">
      <c r="B609" t="s">
        <v>129</v>
      </c>
      <c r="E609" s="6"/>
    </row>
    <row r="610" spans="2:7" ht="12.75">
      <c r="B610" t="s">
        <v>130</v>
      </c>
      <c r="E610" s="6"/>
      <c r="G610" s="6">
        <v>141631</v>
      </c>
    </row>
    <row r="611" spans="2:7" ht="12.75">
      <c r="B611" t="s">
        <v>250</v>
      </c>
      <c r="E611" s="6"/>
      <c r="G611" s="6">
        <v>15479</v>
      </c>
    </row>
    <row r="612" spans="2:5" ht="12.75">
      <c r="B612" t="s">
        <v>131</v>
      </c>
      <c r="E612" s="6"/>
    </row>
    <row r="613" spans="2:7" ht="12.75">
      <c r="B613" t="s">
        <v>132</v>
      </c>
      <c r="E613" s="6"/>
      <c r="G613" s="6">
        <f>151843-11305-58217-8311</f>
        <v>74010</v>
      </c>
    </row>
    <row r="614" spans="2:7" ht="12.75">
      <c r="B614" t="s">
        <v>481</v>
      </c>
      <c r="E614" s="6"/>
      <c r="G614" s="6">
        <v>11305</v>
      </c>
    </row>
    <row r="615" spans="2:7" ht="12.75">
      <c r="B615" t="s">
        <v>340</v>
      </c>
      <c r="E615" s="6"/>
      <c r="G615" s="6">
        <v>27357</v>
      </c>
    </row>
    <row r="616" spans="2:7" ht="12.75">
      <c r="B616" t="s">
        <v>341</v>
      </c>
      <c r="E616" s="6"/>
      <c r="G616" s="6">
        <v>5560</v>
      </c>
    </row>
    <row r="617" spans="2:7" ht="12.75">
      <c r="B617" t="s">
        <v>342</v>
      </c>
      <c r="E617" s="6"/>
      <c r="G617" s="6">
        <v>58217</v>
      </c>
    </row>
    <row r="618" spans="2:7" ht="12.75">
      <c r="B618" t="s">
        <v>343</v>
      </c>
      <c r="E618" s="6"/>
      <c r="G618" s="6">
        <v>3221</v>
      </c>
    </row>
    <row r="619" spans="2:7" ht="12.75">
      <c r="B619" t="s">
        <v>482</v>
      </c>
      <c r="E619" s="6"/>
      <c r="G619" s="6">
        <v>6999</v>
      </c>
    </row>
    <row r="620" spans="2:7" ht="12.75">
      <c r="B620" t="s">
        <v>344</v>
      </c>
      <c r="E620" s="6"/>
      <c r="G620" s="6">
        <v>8311</v>
      </c>
    </row>
    <row r="621" spans="2:7" ht="12.75">
      <c r="B621" t="s">
        <v>345</v>
      </c>
      <c r="E621" s="6"/>
      <c r="G621" s="6">
        <v>0</v>
      </c>
    </row>
    <row r="622" ht="12.75">
      <c r="E622" s="6"/>
    </row>
    <row r="623" spans="2:5" ht="12.75">
      <c r="B623" t="s">
        <v>486</v>
      </c>
      <c r="E623" s="6"/>
    </row>
    <row r="624" ht="12.75">
      <c r="E624" s="6"/>
    </row>
    <row r="625" spans="2:8" s="57" customFormat="1" ht="12.75">
      <c r="B625" s="57" t="s">
        <v>312</v>
      </c>
      <c r="D625" s="58"/>
      <c r="E625" s="58"/>
      <c r="F625" s="58"/>
      <c r="G625" s="58">
        <v>2347</v>
      </c>
      <c r="H625" s="59"/>
    </row>
    <row r="626" ht="12.75">
      <c r="E626" s="6"/>
    </row>
    <row r="627" spans="2:8" s="57" customFormat="1" ht="12.75">
      <c r="B627" s="57" t="s">
        <v>483</v>
      </c>
      <c r="D627" s="58"/>
      <c r="F627" s="58">
        <v>-16169</v>
      </c>
      <c r="G627" s="58">
        <v>-20040</v>
      </c>
      <c r="H627" s="59"/>
    </row>
    <row r="628" ht="12.75">
      <c r="B628" s="57"/>
    </row>
    <row r="629" spans="1:9" s="65" customFormat="1" ht="15">
      <c r="A629" s="65" t="s">
        <v>66</v>
      </c>
      <c r="B629" s="65" t="s">
        <v>133</v>
      </c>
      <c r="D629" s="66"/>
      <c r="F629" s="66"/>
      <c r="G629" s="66"/>
      <c r="H629" s="42"/>
      <c r="I629" s="35"/>
    </row>
    <row r="631" spans="2:8" s="57" customFormat="1" ht="12.75">
      <c r="B631" s="57" t="s">
        <v>458</v>
      </c>
      <c r="D631" s="58"/>
      <c r="F631" s="58">
        <v>54183</v>
      </c>
      <c r="G631" s="58">
        <v>54183</v>
      </c>
      <c r="H631" s="59"/>
    </row>
    <row r="633" spans="2:8" s="57" customFormat="1" ht="12.75">
      <c r="B633" s="57" t="s">
        <v>226</v>
      </c>
      <c r="D633" s="58"/>
      <c r="F633" s="58">
        <f>SUM(F635:F636)</f>
        <v>31000</v>
      </c>
      <c r="G633" s="58">
        <f>SUM(G635:G636)</f>
        <v>10803</v>
      </c>
      <c r="H633" s="59"/>
    </row>
    <row r="634" spans="2:8" s="20" customFormat="1" ht="12.75">
      <c r="B634" s="20" t="s">
        <v>14</v>
      </c>
      <c r="D634" s="28"/>
      <c r="F634" s="28"/>
      <c r="G634" s="28"/>
      <c r="H634" s="48"/>
    </row>
    <row r="635" spans="2:8" s="20" customFormat="1" ht="12.75">
      <c r="B635" s="20" t="s">
        <v>468</v>
      </c>
      <c r="D635" s="28"/>
      <c r="F635" s="28">
        <v>30000</v>
      </c>
      <c r="G635" s="28">
        <v>9585</v>
      </c>
      <c r="H635" s="48"/>
    </row>
    <row r="636" spans="2:7" ht="12.75">
      <c r="B636" t="s">
        <v>227</v>
      </c>
      <c r="F636" s="6">
        <v>1000</v>
      </c>
      <c r="G636" s="6">
        <v>1218</v>
      </c>
    </row>
    <row r="638" spans="2:8" s="57" customFormat="1" ht="12.75">
      <c r="B638" s="57" t="s">
        <v>228</v>
      </c>
      <c r="D638" s="58"/>
      <c r="F638" s="58">
        <f>SUM(F641:F649)</f>
        <v>84000</v>
      </c>
      <c r="G638" s="58">
        <f>SUM(G641:G649)</f>
        <v>26180</v>
      </c>
      <c r="H638" s="59"/>
    </row>
    <row r="639" ht="12.75">
      <c r="B639" t="s">
        <v>14</v>
      </c>
    </row>
    <row r="640" ht="12.75">
      <c r="B640" t="s">
        <v>229</v>
      </c>
    </row>
    <row r="641" spans="2:7" ht="12.75">
      <c r="B641" t="s">
        <v>230</v>
      </c>
      <c r="F641" s="6">
        <v>3000</v>
      </c>
      <c r="G641" s="6">
        <v>3000</v>
      </c>
    </row>
    <row r="642" spans="2:7" ht="12.75">
      <c r="B642" t="s">
        <v>308</v>
      </c>
      <c r="F642" s="6">
        <v>3000</v>
      </c>
      <c r="G642" s="6">
        <v>3000</v>
      </c>
    </row>
    <row r="643" ht="12.75">
      <c r="B643" t="s">
        <v>469</v>
      </c>
    </row>
    <row r="644" spans="2:7" ht="12.75">
      <c r="B644" t="s">
        <v>470</v>
      </c>
      <c r="F644" s="6">
        <v>2000</v>
      </c>
      <c r="G644" s="6">
        <v>2000</v>
      </c>
    </row>
    <row r="645" ht="12.75">
      <c r="B645" t="s">
        <v>309</v>
      </c>
    </row>
    <row r="646" spans="2:7" ht="12.75">
      <c r="B646" t="s">
        <v>310</v>
      </c>
      <c r="F646" s="6">
        <v>3000</v>
      </c>
      <c r="G646" s="6">
        <v>420</v>
      </c>
    </row>
    <row r="647" spans="2:7" ht="12.75">
      <c r="B647" t="s">
        <v>471</v>
      </c>
      <c r="F647" s="6">
        <v>15000</v>
      </c>
      <c r="G647" s="6">
        <v>1928</v>
      </c>
    </row>
    <row r="648" spans="2:7" ht="12.75">
      <c r="B648" t="s">
        <v>472</v>
      </c>
      <c r="F648" s="6">
        <f>33500+24000</f>
        <v>57500</v>
      </c>
      <c r="G648" s="6">
        <f>17760-72-1928</f>
        <v>15760</v>
      </c>
    </row>
    <row r="649" spans="2:7" ht="12.75">
      <c r="B649" t="s">
        <v>473</v>
      </c>
      <c r="F649" s="6">
        <v>500</v>
      </c>
      <c r="G649" s="6">
        <v>72</v>
      </c>
    </row>
    <row r="652" spans="2:7" ht="12.75">
      <c r="B652" s="57" t="s">
        <v>474</v>
      </c>
      <c r="F652" s="58">
        <v>1183</v>
      </c>
      <c r="G652" s="58">
        <f>G631+G633-G638</f>
        <v>38806</v>
      </c>
    </row>
  </sheetData>
  <printOptions/>
  <pageMargins left="0.35433070866141736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2003-08-04T12:51:53Z</cp:lastPrinted>
  <dcterms:created xsi:type="dcterms:W3CDTF">2001-08-01T10:56:09Z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