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766" yWindow="570" windowWidth="9720" windowHeight="7020" activeTab="0"/>
  </bookViews>
  <sheets>
    <sheet name="DOCHi2000" sheetId="1" r:id="rId1"/>
  </sheets>
  <definedNames/>
  <calcPr fullCalcOnLoad="1"/>
</workbook>
</file>

<file path=xl/sharedStrings.xml><?xml version="1.0" encoding="utf-8"?>
<sst xmlns="http://schemas.openxmlformats.org/spreadsheetml/2006/main" count="536" uniqueCount="232">
  <si>
    <t>a) zestawienie dochodów wg działów</t>
  </si>
  <si>
    <t>Struktura</t>
  </si>
  <si>
    <t>Lp.</t>
  </si>
  <si>
    <t>Dz.-rozdz.&amp;</t>
  </si>
  <si>
    <t xml:space="preserve"> Treść</t>
  </si>
  <si>
    <t>GOSPODARKA KOMUNALNA</t>
  </si>
  <si>
    <t>BEZPIECZEŃSTWO  PUBLICZNE</t>
  </si>
  <si>
    <t>OGÓŁEM</t>
  </si>
  <si>
    <t>b) zestawienie dochodów wg działów, rozdziałów i paragrafów</t>
  </si>
  <si>
    <t>Pozostała działalność</t>
  </si>
  <si>
    <t>różne opłaty (świadectwa pochodz.zwierz.)</t>
  </si>
  <si>
    <t>w tym:</t>
  </si>
  <si>
    <t>Gospodarka gruntami i nieruchom.</t>
  </si>
  <si>
    <t>wpływy z usług</t>
  </si>
  <si>
    <t>gruntu</t>
  </si>
  <si>
    <t>lokali mieszkalnych</t>
  </si>
  <si>
    <t>lokali użytkowych</t>
  </si>
  <si>
    <t>OŚWIATA I WYCHOWANIE</t>
  </si>
  <si>
    <t>Szkoły podstawowe</t>
  </si>
  <si>
    <t>Gimnazja</t>
  </si>
  <si>
    <t>OPIEKA SPOŁECZNA</t>
  </si>
  <si>
    <t>Dodatki mieszkaniowe</t>
  </si>
  <si>
    <t>DOCH.OD OSÓB PRAWN.,OD</t>
  </si>
  <si>
    <t>OSÓB FIZYCZN.I OD INNYCH...</t>
  </si>
  <si>
    <t>podatek rolny</t>
  </si>
  <si>
    <t>podatek leśny</t>
  </si>
  <si>
    <t>podatek od nieruchomości</t>
  </si>
  <si>
    <t>podatek od środków transportowych</t>
  </si>
  <si>
    <t>opłata prolongacyjna</t>
  </si>
  <si>
    <t>zaległości z podatków zniesionych</t>
  </si>
  <si>
    <t>podatek od spadków i darowizn</t>
  </si>
  <si>
    <t>podatek od posiadania psów</t>
  </si>
  <si>
    <t>Urzędy wojewódzkie</t>
  </si>
  <si>
    <t>cena za for.zaw.spec.ist.war.zamów.</t>
  </si>
  <si>
    <t>zezwol.na przejazdy taksówką</t>
  </si>
  <si>
    <t>Obrona cywilna</t>
  </si>
  <si>
    <t>subwencje ogólne z budżetu  państwa</t>
  </si>
  <si>
    <t>Różne rozliczenia finansowe</t>
  </si>
  <si>
    <t>ROLNICTWO  I  ŁOWIECTWO</t>
  </si>
  <si>
    <t>TRANSPORT I ŁĄCZNOŚĆ</t>
  </si>
  <si>
    <t>I OCHRONA ŚRODOWISKA</t>
  </si>
  <si>
    <t>GOSPODARKA MIESZKANIOWA</t>
  </si>
  <si>
    <t>EDUKACYJNA  OPIEKA</t>
  </si>
  <si>
    <t>WYCHOWAWCZA</t>
  </si>
  <si>
    <t xml:space="preserve">Kolonie i obozy oraz inne formy </t>
  </si>
  <si>
    <t>Usługi opiekuńcze i specjalistyczne</t>
  </si>
  <si>
    <t xml:space="preserve">usługi opiekuńcze </t>
  </si>
  <si>
    <t>Zasiłki i pomoc w naturze oraz</t>
  </si>
  <si>
    <t>Ośrodki pomocy społecznej</t>
  </si>
  <si>
    <t>Zasiłki rodzinne, pilęgnacyjne</t>
  </si>
  <si>
    <t>i wychowawcze</t>
  </si>
  <si>
    <t>TURYSTYKA</t>
  </si>
  <si>
    <t>osób fizycznych</t>
  </si>
  <si>
    <t>Wpływy z podatku dochodowego od</t>
  </si>
  <si>
    <t>Wpływy z pod.rolnego,pod.leśnego,pod.</t>
  </si>
  <si>
    <t>od  spadków i darowizn,pod.od czynności</t>
  </si>
  <si>
    <t>cywilnoprawnych oraz podatków i opłat</t>
  </si>
  <si>
    <t>lokalnych od osób fizycznych</t>
  </si>
  <si>
    <t>Urzędy gmin</t>
  </si>
  <si>
    <t>I OCHRONA  PRZECIWPOŻAROWA</t>
  </si>
  <si>
    <t>Część oświatowa subwencji ogólnej</t>
  </si>
  <si>
    <t>dla jednostek samorządu terytorial.</t>
  </si>
  <si>
    <t>Część rekompensująca subwencji</t>
  </si>
  <si>
    <t>ogólnej dla gmin</t>
  </si>
  <si>
    <t>Część podstawowa subwencji ogólnej</t>
  </si>
  <si>
    <t>dla gmin</t>
  </si>
  <si>
    <t>URZĘDY NACZELNYCH ORGANÓW</t>
  </si>
  <si>
    <t>WŁADZY PAŃSTWOWEJ, KONTROLI</t>
  </si>
  <si>
    <t xml:space="preserve"> I OCHRONY PRAWA  ORAZ SĄDOW.</t>
  </si>
  <si>
    <t>Urzędy naczelnych organów władzy</t>
  </si>
  <si>
    <t>państw.,kontroli i ochrony prawa</t>
  </si>
  <si>
    <t>O10</t>
  </si>
  <si>
    <t>wpływy z różnych dochodów</t>
  </si>
  <si>
    <t>wpływy z opłaty miejscowej</t>
  </si>
  <si>
    <t>podatków i opłat</t>
  </si>
  <si>
    <t>dochody z najmu i dzierżawy składnik.</t>
  </si>
  <si>
    <t>O83</t>
  </si>
  <si>
    <t>wpływy z różnych opłat</t>
  </si>
  <si>
    <t>wpływy z tyt.przekształcenia prawa</t>
  </si>
  <si>
    <t>użytkowania wieczystego przysług.</t>
  </si>
  <si>
    <t>osobom fizycznym w prawo własności</t>
  </si>
  <si>
    <t>wpływy z opłat za zarząd, użytkowanie</t>
  </si>
  <si>
    <t>i użytkowanie wieczyste nieruchomości</t>
  </si>
  <si>
    <t>wpływy z różnych  dochodów</t>
  </si>
  <si>
    <t>odsetki od nieterminowych wpłat z tyt.</t>
  </si>
  <si>
    <t>ADMINISTRACJA  PUBLICZNA</t>
  </si>
  <si>
    <t>wpływy z opłaty administracyjnej za</t>
  </si>
  <si>
    <t>wpływy z tyt.wynagrodzenia płatnika</t>
  </si>
  <si>
    <t>rozliczenia z lat ubiegłych</t>
  </si>
  <si>
    <t>od ludności</t>
  </si>
  <si>
    <t>pozostałe odsetki</t>
  </si>
  <si>
    <t>podatek od działalności gospodarczej</t>
  </si>
  <si>
    <t>karty podatkowej</t>
  </si>
  <si>
    <t>wpływy z opłaty targowej</t>
  </si>
  <si>
    <t>wpływy z opłaty skarbowej</t>
  </si>
  <si>
    <t>otrzymane spadki,zapisy i darowizny</t>
  </si>
  <si>
    <t>w postaci pieniężnej</t>
  </si>
  <si>
    <t>wpływy z różnych opłat (cmentarne)</t>
  </si>
  <si>
    <t>Drogi publiczne powiatowe</t>
  </si>
  <si>
    <t>dotacje celowe otrzymane z powiatu na</t>
  </si>
  <si>
    <t>porozumień między j.s.t.</t>
  </si>
  <si>
    <t>Oświetlenie ulic,placów i dróg</t>
  </si>
  <si>
    <t>dotacje celowe otrzymane z bud.państ.</t>
  </si>
  <si>
    <t>na realizację zadań bieżących z zakresu</t>
  </si>
  <si>
    <t>zleconych gminie ustawami</t>
  </si>
  <si>
    <t>wpłaty z tyt.odpłatnego nabycia prawa</t>
  </si>
  <si>
    <t>własności nieruchomości</t>
  </si>
  <si>
    <t>budynki</t>
  </si>
  <si>
    <t>szkoła nr 1</t>
  </si>
  <si>
    <t>szkoła nr 2</t>
  </si>
  <si>
    <t xml:space="preserve">szkoła nr 2 </t>
  </si>
  <si>
    <t>na realizację własnych zadań bieżacych</t>
  </si>
  <si>
    <t>gmin</t>
  </si>
  <si>
    <t>składki na ubezpieczenia społeczne</t>
  </si>
  <si>
    <t>na realizacje zadań bieżacych z zakresu</t>
  </si>
  <si>
    <t xml:space="preserve">administr.rządowej oraz innych zadań </t>
  </si>
  <si>
    <t>realizację zadań bieżących jednost. sektora</t>
  </si>
  <si>
    <t>podatek dochodowy od osób fizycznych</t>
  </si>
  <si>
    <t>podatek dochodowy od osób prawnych</t>
  </si>
  <si>
    <t>osób fizycznych,opłacany w formie</t>
  </si>
  <si>
    <t>dochód budżetu państwa</t>
  </si>
  <si>
    <t>Udziały gmin w podatkach stanow.</t>
  </si>
  <si>
    <t xml:space="preserve">pozostałe odsetki (odsetki od środków </t>
  </si>
  <si>
    <t>sub.rekompens.pod.od środków transport.</t>
  </si>
  <si>
    <t>sub.rekomp.ulgi w pod.rol.,leśn,i od nier.</t>
  </si>
  <si>
    <t>Stołówki szkolne</t>
  </si>
  <si>
    <t>gimnazjum</t>
  </si>
  <si>
    <t>Straż Miejska</t>
  </si>
  <si>
    <t>grzywny,mandaty i inne kary pieniężne</t>
  </si>
  <si>
    <t>O1095</t>
  </si>
  <si>
    <t>kol.6/5</t>
  </si>
  <si>
    <t>DZIAŁALNOŚĆ USŁUGOWA</t>
  </si>
  <si>
    <t>Cmentarze</t>
  </si>
  <si>
    <t>zwrot opłat sądowych</t>
  </si>
  <si>
    <t>prowizja za znaki skarbowe</t>
  </si>
  <si>
    <t>Wybory do rad gmin,rad powiatów ......</t>
  </si>
  <si>
    <t>oraz referenda gminne.........</t>
  </si>
  <si>
    <t>odsetki od nietrminowych wpłat......</t>
  </si>
  <si>
    <t>podatek od czynności cywilnoprawnych</t>
  </si>
  <si>
    <t>Wpływy z innych opłat stanowiących</t>
  </si>
  <si>
    <t>Przedszkola</t>
  </si>
  <si>
    <t>zmiany na</t>
  </si>
  <si>
    <t>plus/minus</t>
  </si>
  <si>
    <t>zwrot za upomnienia</t>
  </si>
  <si>
    <t>dotacje celowe otrzym.z bud.państwa.....</t>
  </si>
  <si>
    <t>(odpisy na ZFŚS nauczycieli emerytów)</t>
  </si>
  <si>
    <t>odsetki od nieterminowych wpłat...........</t>
  </si>
  <si>
    <t>na rachunkach bankowych i inne)</t>
  </si>
  <si>
    <t>Plan na</t>
  </si>
  <si>
    <t>2002 r.</t>
  </si>
  <si>
    <t>dotacje otrzymane z funduszy celowych na</t>
  </si>
  <si>
    <t>Towarzystwa Budownictwa Społecznego</t>
  </si>
  <si>
    <t>Składki na ubezpieczenie zdrowotne</t>
  </si>
  <si>
    <t>opłacane za osoby pobierające niektóre</t>
  </si>
  <si>
    <t>świadczenia z pomocy społecznej</t>
  </si>
  <si>
    <t>odsetki od nieterminowych wpłat.........</t>
  </si>
  <si>
    <t>w zł</t>
  </si>
  <si>
    <t>załącznik nr 1 do objaśnień</t>
  </si>
  <si>
    <t>(zwrot nakładów-przedsięwzięcie termomodern.)</t>
  </si>
  <si>
    <t>Drogi publiczne gminne</t>
  </si>
  <si>
    <t>Opracowania geodezyjne i kartograf.</t>
  </si>
  <si>
    <t>gmin (dożywianie uczniów)</t>
  </si>
  <si>
    <t>finansów publicznych (kombatanci)</t>
  </si>
  <si>
    <t xml:space="preserve">wypoczynku dzieci i młodzieży </t>
  </si>
  <si>
    <t>zmianach</t>
  </si>
  <si>
    <t>Przewidywane</t>
  </si>
  <si>
    <t xml:space="preserve">wykonanie </t>
  </si>
  <si>
    <t>Plan po</t>
  </si>
  <si>
    <t>2003r.</t>
  </si>
  <si>
    <t>koszty zastępstwa procesowego</t>
  </si>
  <si>
    <t>wpływy z opłat za zezwolenia na sprzedaż</t>
  </si>
  <si>
    <t>alkoholu</t>
  </si>
  <si>
    <t>roczna opłata z tyt.użytkowania wieczyst.</t>
  </si>
  <si>
    <t>czynności urzędowe</t>
  </si>
  <si>
    <t>gmin (wynagrodzenia nauczycieli)</t>
  </si>
  <si>
    <t>Świetlice szkolne</t>
  </si>
  <si>
    <t>majątkowych Skarbu Państwa,jedn.samorz.</t>
  </si>
  <si>
    <t>teryt.lub innych jednostek zaliczanych do</t>
  </si>
  <si>
    <t>sektora finansów publ.oraz innych umów.....</t>
  </si>
  <si>
    <t>i składników majątkowych</t>
  </si>
  <si>
    <t>wpływy ze sprzedaży wyrobów</t>
  </si>
  <si>
    <t>dochody jedn.samorz.teryt.na podst .ustaw</t>
  </si>
  <si>
    <t>sektora finansnów publ.oraz innych umów.....</t>
  </si>
  <si>
    <t>administr.rządowej oraz innych zadań</t>
  </si>
  <si>
    <t>planu na</t>
  </si>
  <si>
    <t>RÓŻNE ROZLICZENIA</t>
  </si>
  <si>
    <t>2003 r.</t>
  </si>
  <si>
    <t>opłata za użytk.wieczyste%(sprzedaż)</t>
  </si>
  <si>
    <t>2004r.</t>
  </si>
  <si>
    <t>wpływy z usług(sprzedaż ciepła dla BGŻ)</t>
  </si>
  <si>
    <t>Referenda ogólnokrajowe i konstytucyjne</t>
  </si>
  <si>
    <t>KULTURA FIZYCZNA I SPORT</t>
  </si>
  <si>
    <t>2004 r.</t>
  </si>
  <si>
    <t xml:space="preserve">od czynności cywilnoprawnych,podatku </t>
  </si>
  <si>
    <t xml:space="preserve">od spadków i darowizn oraz podatków </t>
  </si>
  <si>
    <t>i opłat lokalnych (wg nowej klasyfikacji)</t>
  </si>
  <si>
    <t>O690</t>
  </si>
  <si>
    <t>POMOC  SPOŁECZNA</t>
  </si>
  <si>
    <t>szkolnej, a także szkolenia młodzieży</t>
  </si>
  <si>
    <t>Część wyrównawcza subwencji ogólnej</t>
  </si>
  <si>
    <t>O970</t>
  </si>
  <si>
    <t>O440</t>
  </si>
  <si>
    <t>O910</t>
  </si>
  <si>
    <t>O470</t>
  </si>
  <si>
    <t>O750</t>
  </si>
  <si>
    <t>O760</t>
  </si>
  <si>
    <t>O770</t>
  </si>
  <si>
    <t>O830</t>
  </si>
  <si>
    <t>O840</t>
  </si>
  <si>
    <t>O920</t>
  </si>
  <si>
    <t>O450</t>
  </si>
  <si>
    <t>O570</t>
  </si>
  <si>
    <t>O350</t>
  </si>
  <si>
    <t>O310</t>
  </si>
  <si>
    <t>O320</t>
  </si>
  <si>
    <t>O330</t>
  </si>
  <si>
    <t>O340</t>
  </si>
  <si>
    <t>O360</t>
  </si>
  <si>
    <t>O370</t>
  </si>
  <si>
    <t>O430</t>
  </si>
  <si>
    <t>O500</t>
  </si>
  <si>
    <t>O560</t>
  </si>
  <si>
    <t>O410</t>
  </si>
  <si>
    <t>O480</t>
  </si>
  <si>
    <t>OO10</t>
  </si>
  <si>
    <t>OO20</t>
  </si>
  <si>
    <t>O960</t>
  </si>
  <si>
    <t>zadania bieżące realizowane na podst.</t>
  </si>
  <si>
    <t>na realizacje zadań bieżących z zakresu</t>
  </si>
  <si>
    <t>na realizację własnych zadań bieżących</t>
  </si>
  <si>
    <t>Wskaźnik</t>
  </si>
  <si>
    <t>Planowane dochody na 2004r. w porównaniu z przewidywanym wykonaniem w 2003r.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</si>
</sst>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0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1"/>
      <name val="Arial CE"/>
      <family val="0"/>
    </font>
    <font>
      <sz val="11"/>
      <name val="Arial CE"/>
      <family val="0"/>
    </font>
    <font>
      <b/>
      <i/>
      <sz val="9"/>
      <name val="Arial CE"/>
      <family val="0"/>
    </font>
    <font>
      <sz val="9"/>
      <name val="Arial CE"/>
      <family val="0"/>
    </font>
    <font>
      <sz val="8"/>
      <name val="Arial CE"/>
      <family val="0"/>
    </font>
    <font>
      <b/>
      <sz val="9"/>
      <name val="Arial CE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2" xfId="0" applyBorder="1" applyAlignment="1">
      <alignment/>
    </xf>
    <xf numFmtId="0" fontId="0" fillId="0" borderId="2" xfId="0" applyBorder="1" applyAlignment="1">
      <alignment horizontal="centerContinuous"/>
    </xf>
    <xf numFmtId="0" fontId="0" fillId="0" borderId="3" xfId="0" applyBorder="1" applyAlignment="1">
      <alignment/>
    </xf>
    <xf numFmtId="0" fontId="1" fillId="0" borderId="2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1" fillId="0" borderId="3" xfId="0" applyFont="1" applyBorder="1" applyAlignment="1">
      <alignment/>
    </xf>
    <xf numFmtId="0" fontId="4" fillId="0" borderId="2" xfId="0" applyFont="1" applyBorder="1" applyAlignment="1">
      <alignment horizontal="left"/>
    </xf>
    <xf numFmtId="0" fontId="4" fillId="0" borderId="2" xfId="0" applyFont="1" applyBorder="1" applyAlignment="1">
      <alignment/>
    </xf>
    <xf numFmtId="0" fontId="3" fillId="0" borderId="2" xfId="0" applyFont="1" applyBorder="1" applyAlignment="1">
      <alignment horizontal="centerContinuous"/>
    </xf>
    <xf numFmtId="0" fontId="3" fillId="0" borderId="2" xfId="0" applyFont="1" applyBorder="1" applyAlignment="1">
      <alignment/>
    </xf>
    <xf numFmtId="0" fontId="4" fillId="0" borderId="2" xfId="0" applyFont="1" applyBorder="1" applyAlignment="1">
      <alignment/>
    </xf>
    <xf numFmtId="0" fontId="5" fillId="0" borderId="0" xfId="0" applyFont="1" applyAlignment="1">
      <alignment/>
    </xf>
    <xf numFmtId="0" fontId="3" fillId="0" borderId="2" xfId="0" applyFont="1" applyBorder="1" applyAlignment="1">
      <alignment horizontal="center"/>
    </xf>
    <xf numFmtId="0" fontId="0" fillId="0" borderId="2" xfId="0" applyFont="1" applyBorder="1" applyAlignment="1">
      <alignment horizontal="right"/>
    </xf>
    <xf numFmtId="3" fontId="4" fillId="0" borderId="2" xfId="0" applyNumberFormat="1" applyFont="1" applyBorder="1" applyAlignment="1">
      <alignment/>
    </xf>
    <xf numFmtId="3" fontId="3" fillId="0" borderId="2" xfId="0" applyNumberFormat="1" applyFont="1" applyBorder="1" applyAlignment="1">
      <alignment/>
    </xf>
    <xf numFmtId="0" fontId="0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7" fillId="0" borderId="2" xfId="0" applyFont="1" applyBorder="1" applyAlignment="1">
      <alignment/>
    </xf>
    <xf numFmtId="0" fontId="0" fillId="0" borderId="4" xfId="0" applyBorder="1" applyAlignment="1">
      <alignment horizontal="center"/>
    </xf>
    <xf numFmtId="3" fontId="1" fillId="0" borderId="2" xfId="0" applyNumberFormat="1" applyFont="1" applyBorder="1" applyAlignment="1">
      <alignment/>
    </xf>
    <xf numFmtId="3" fontId="0" fillId="0" borderId="2" xfId="0" applyNumberFormat="1" applyBorder="1" applyAlignment="1">
      <alignment/>
    </xf>
    <xf numFmtId="3" fontId="1" fillId="0" borderId="3" xfId="0" applyNumberFormat="1" applyFont="1" applyBorder="1" applyAlignment="1">
      <alignment/>
    </xf>
    <xf numFmtId="3" fontId="0" fillId="0" borderId="0" xfId="0" applyNumberFormat="1" applyAlignment="1">
      <alignment/>
    </xf>
    <xf numFmtId="3" fontId="5" fillId="0" borderId="0" xfId="0" applyNumberFormat="1" applyFont="1" applyAlignment="1">
      <alignment/>
    </xf>
    <xf numFmtId="3" fontId="0" fillId="0" borderId="3" xfId="0" applyNumberFormat="1" applyBorder="1" applyAlignment="1">
      <alignment/>
    </xf>
    <xf numFmtId="3" fontId="0" fillId="0" borderId="4" xfId="0" applyNumberFormat="1" applyBorder="1" applyAlignment="1">
      <alignment horizontal="center"/>
    </xf>
    <xf numFmtId="3" fontId="0" fillId="0" borderId="0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3" fontId="0" fillId="0" borderId="2" xfId="0" applyNumberFormat="1" applyFont="1" applyBorder="1" applyAlignment="1">
      <alignment/>
    </xf>
    <xf numFmtId="3" fontId="4" fillId="0" borderId="3" xfId="0" applyNumberFormat="1" applyFont="1" applyBorder="1" applyAlignment="1">
      <alignment/>
    </xf>
    <xf numFmtId="3" fontId="0" fillId="0" borderId="5" xfId="0" applyNumberFormat="1" applyFont="1" applyBorder="1" applyAlignment="1">
      <alignment/>
    </xf>
    <xf numFmtId="0" fontId="1" fillId="0" borderId="2" xfId="0" applyFont="1" applyBorder="1" applyAlignment="1">
      <alignment horizontal="center"/>
    </xf>
    <xf numFmtId="9" fontId="0" fillId="0" borderId="0" xfId="0" applyNumberFormat="1" applyAlignment="1">
      <alignment/>
    </xf>
    <xf numFmtId="0" fontId="8" fillId="0" borderId="2" xfId="0" applyFont="1" applyBorder="1" applyAlignment="1">
      <alignment/>
    </xf>
    <xf numFmtId="0" fontId="1" fillId="0" borderId="2" xfId="0" applyFont="1" applyBorder="1" applyAlignment="1">
      <alignment/>
    </xf>
    <xf numFmtId="0" fontId="4" fillId="0" borderId="2" xfId="0" applyFont="1" applyBorder="1" applyAlignment="1">
      <alignment/>
    </xf>
    <xf numFmtId="3" fontId="4" fillId="0" borderId="2" xfId="0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2" xfId="0" applyFont="1" applyBorder="1" applyAlignment="1">
      <alignment horizontal="left"/>
    </xf>
    <xf numFmtId="0" fontId="3" fillId="0" borderId="2" xfId="0" applyFont="1" applyBorder="1" applyAlignment="1">
      <alignment/>
    </xf>
    <xf numFmtId="3" fontId="3" fillId="0" borderId="2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2" xfId="0" applyFont="1" applyBorder="1" applyAlignment="1">
      <alignment horizontal="center"/>
    </xf>
    <xf numFmtId="0" fontId="0" fillId="0" borderId="2" xfId="0" applyBorder="1" applyAlignment="1">
      <alignment horizontal="right"/>
    </xf>
    <xf numFmtId="0" fontId="7" fillId="0" borderId="2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2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3" fontId="0" fillId="0" borderId="2" xfId="0" applyNumberFormat="1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2" xfId="0" applyFont="1" applyBorder="1" applyAlignment="1">
      <alignment/>
    </xf>
    <xf numFmtId="3" fontId="0" fillId="0" borderId="2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2" xfId="0" applyFont="1" applyBorder="1" applyAlignment="1">
      <alignment horizontal="center"/>
    </xf>
    <xf numFmtId="0" fontId="6" fillId="0" borderId="2" xfId="0" applyFont="1" applyBorder="1" applyAlignment="1">
      <alignment/>
    </xf>
    <xf numFmtId="3" fontId="1" fillId="0" borderId="2" xfId="0" applyNumberFormat="1" applyFont="1" applyBorder="1" applyAlignment="1">
      <alignment/>
    </xf>
    <xf numFmtId="0" fontId="0" fillId="0" borderId="2" xfId="0" applyFont="1" applyBorder="1" applyAlignment="1">
      <alignment horizontal="centerContinuous"/>
    </xf>
    <xf numFmtId="0" fontId="4" fillId="0" borderId="3" xfId="0" applyFont="1" applyBorder="1" applyAlignment="1">
      <alignment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7" fillId="0" borderId="0" xfId="0" applyFont="1" applyAlignment="1">
      <alignment/>
    </xf>
    <xf numFmtId="3" fontId="7" fillId="0" borderId="0" xfId="0" applyNumberFormat="1" applyFont="1" applyAlignment="1">
      <alignment/>
    </xf>
    <xf numFmtId="3" fontId="0" fillId="0" borderId="1" xfId="0" applyNumberFormat="1" applyBorder="1" applyAlignment="1">
      <alignment/>
    </xf>
    <xf numFmtId="3" fontId="1" fillId="0" borderId="1" xfId="0" applyNumberFormat="1" applyFont="1" applyBorder="1" applyAlignment="1">
      <alignment/>
    </xf>
    <xf numFmtId="0" fontId="0" fillId="0" borderId="2" xfId="0" applyFont="1" applyBorder="1" applyAlignment="1">
      <alignment horizontal="left"/>
    </xf>
    <xf numFmtId="0" fontId="5" fillId="0" borderId="2" xfId="0" applyFont="1" applyBorder="1" applyAlignment="1">
      <alignment/>
    </xf>
    <xf numFmtId="0" fontId="5" fillId="0" borderId="0" xfId="0" applyFont="1" applyAlignment="1">
      <alignment/>
    </xf>
    <xf numFmtId="3" fontId="3" fillId="0" borderId="6" xfId="0" applyNumberFormat="1" applyFont="1" applyBorder="1" applyAlignment="1">
      <alignment/>
    </xf>
    <xf numFmtId="0" fontId="0" fillId="0" borderId="7" xfId="0" applyBorder="1" applyAlignment="1">
      <alignment horizontal="center"/>
    </xf>
    <xf numFmtId="3" fontId="0" fillId="0" borderId="6" xfId="0" applyNumberFormat="1" applyFont="1" applyBorder="1" applyAlignment="1">
      <alignment/>
    </xf>
    <xf numFmtId="3" fontId="7" fillId="0" borderId="2" xfId="0" applyNumberFormat="1" applyFont="1" applyBorder="1" applyAlignment="1">
      <alignment/>
    </xf>
    <xf numFmtId="0" fontId="0" fillId="0" borderId="6" xfId="0" applyBorder="1" applyAlignment="1">
      <alignment/>
    </xf>
    <xf numFmtId="3" fontId="4" fillId="0" borderId="0" xfId="0" applyNumberFormat="1" applyFont="1" applyAlignment="1">
      <alignment/>
    </xf>
    <xf numFmtId="3" fontId="0" fillId="0" borderId="5" xfId="0" applyNumberFormat="1" applyBorder="1" applyAlignment="1">
      <alignment/>
    </xf>
    <xf numFmtId="0" fontId="3" fillId="0" borderId="2" xfId="0" applyFont="1" applyBorder="1" applyAlignment="1">
      <alignment horizontal="left"/>
    </xf>
    <xf numFmtId="0" fontId="8" fillId="0" borderId="2" xfId="0" applyFont="1" applyBorder="1" applyAlignment="1">
      <alignment/>
    </xf>
    <xf numFmtId="0" fontId="3" fillId="0" borderId="2" xfId="0" applyFont="1" applyBorder="1" applyAlignment="1">
      <alignment/>
    </xf>
    <xf numFmtId="3" fontId="3" fillId="0" borderId="2" xfId="0" applyNumberFormat="1" applyFont="1" applyBorder="1" applyAlignment="1">
      <alignment horizontal="right"/>
    </xf>
    <xf numFmtId="0" fontId="3" fillId="0" borderId="0" xfId="0" applyFont="1" applyAlignment="1">
      <alignment horizontal="right"/>
    </xf>
    <xf numFmtId="3" fontId="1" fillId="0" borderId="0" xfId="0" applyNumberFormat="1" applyFont="1" applyBorder="1" applyAlignment="1">
      <alignment/>
    </xf>
    <xf numFmtId="3" fontId="0" fillId="0" borderId="8" xfId="0" applyNumberFormat="1" applyBorder="1" applyAlignment="1">
      <alignment/>
    </xf>
    <xf numFmtId="3" fontId="0" fillId="0" borderId="9" xfId="0" applyNumberFormat="1" applyBorder="1" applyAlignment="1">
      <alignment horizontal="center"/>
    </xf>
    <xf numFmtId="3" fontId="0" fillId="0" borderId="6" xfId="0" applyNumberFormat="1" applyFont="1" applyBorder="1" applyAlignment="1">
      <alignment horizontal="center"/>
    </xf>
    <xf numFmtId="3" fontId="0" fillId="0" borderId="3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3" fontId="7" fillId="0" borderId="2" xfId="0" applyNumberFormat="1" applyFont="1" applyBorder="1" applyAlignment="1">
      <alignment horizontal="center"/>
    </xf>
    <xf numFmtId="3" fontId="0" fillId="0" borderId="2" xfId="0" applyNumberFormat="1" applyBorder="1" applyAlignment="1">
      <alignment horizontal="center"/>
    </xf>
    <xf numFmtId="0" fontId="7" fillId="0" borderId="10" xfId="0" applyFont="1" applyBorder="1" applyAlignment="1">
      <alignment horizontal="center"/>
    </xf>
    <xf numFmtId="1" fontId="7" fillId="0" borderId="3" xfId="0" applyNumberFormat="1" applyFont="1" applyBorder="1" applyAlignment="1">
      <alignment horizontal="center"/>
    </xf>
    <xf numFmtId="3" fontId="2" fillId="0" borderId="2" xfId="0" applyNumberFormat="1" applyFont="1" applyBorder="1" applyAlignment="1">
      <alignment/>
    </xf>
    <xf numFmtId="9" fontId="7" fillId="0" borderId="0" xfId="0" applyNumberFormat="1" applyFont="1" applyAlignment="1">
      <alignment/>
    </xf>
    <xf numFmtId="9" fontId="7" fillId="0" borderId="1" xfId="0" applyNumberFormat="1" applyFont="1" applyBorder="1" applyAlignment="1">
      <alignment/>
    </xf>
    <xf numFmtId="0" fontId="7" fillId="0" borderId="2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4" xfId="0" applyFont="1" applyBorder="1" applyAlignment="1">
      <alignment horizontal="centerContinuous"/>
    </xf>
    <xf numFmtId="9" fontId="7" fillId="0" borderId="5" xfId="0" applyNumberFormat="1" applyFont="1" applyBorder="1" applyAlignment="1">
      <alignment/>
    </xf>
    <xf numFmtId="10" fontId="7" fillId="0" borderId="2" xfId="0" applyNumberFormat="1" applyFont="1" applyBorder="1" applyAlignment="1">
      <alignment/>
    </xf>
    <xf numFmtId="10" fontId="7" fillId="0" borderId="3" xfId="0" applyNumberFormat="1" applyFont="1" applyBorder="1" applyAlignment="1">
      <alignment/>
    </xf>
    <xf numFmtId="9" fontId="7" fillId="0" borderId="4" xfId="0" applyNumberFormat="1" applyFont="1" applyBorder="1" applyAlignment="1">
      <alignment/>
    </xf>
    <xf numFmtId="10" fontId="7" fillId="0" borderId="0" xfId="0" applyNumberFormat="1" applyFont="1" applyBorder="1" applyAlignment="1">
      <alignment/>
    </xf>
    <xf numFmtId="9" fontId="7" fillId="0" borderId="0" xfId="0" applyNumberFormat="1" applyFont="1" applyBorder="1" applyAlignment="1">
      <alignment/>
    </xf>
    <xf numFmtId="10" fontId="9" fillId="0" borderId="2" xfId="0" applyNumberFormat="1" applyFont="1" applyBorder="1" applyAlignment="1">
      <alignment/>
    </xf>
    <xf numFmtId="9" fontId="9" fillId="0" borderId="5" xfId="0" applyNumberFormat="1" applyFont="1" applyBorder="1" applyAlignment="1">
      <alignment/>
    </xf>
    <xf numFmtId="10" fontId="6" fillId="0" borderId="2" xfId="0" applyNumberFormat="1" applyFont="1" applyBorder="1" applyAlignment="1">
      <alignment/>
    </xf>
    <xf numFmtId="9" fontId="6" fillId="0" borderId="5" xfId="0" applyNumberFormat="1" applyFont="1" applyBorder="1" applyAlignment="1">
      <alignment/>
    </xf>
    <xf numFmtId="10" fontId="9" fillId="0" borderId="7" xfId="0" applyNumberFormat="1" applyFont="1" applyBorder="1" applyAlignment="1">
      <alignment/>
    </xf>
    <xf numFmtId="9" fontId="9" fillId="0" borderId="11" xfId="0" applyNumberFormat="1" applyFont="1" applyBorder="1" applyAlignment="1">
      <alignment/>
    </xf>
    <xf numFmtId="10" fontId="9" fillId="0" borderId="3" xfId="0" applyNumberFormat="1" applyFont="1" applyBorder="1" applyAlignment="1">
      <alignment/>
    </xf>
    <xf numFmtId="9" fontId="9" fillId="0" borderId="3" xfId="0" applyNumberFormat="1" applyFont="1" applyBorder="1" applyAlignment="1">
      <alignment/>
    </xf>
    <xf numFmtId="9" fontId="8" fillId="0" borderId="10" xfId="0" applyNumberFormat="1" applyFont="1" applyBorder="1" applyAlignment="1">
      <alignment horizontal="center"/>
    </xf>
    <xf numFmtId="9" fontId="8" fillId="0" borderId="2" xfId="0" applyNumberFormat="1" applyFont="1" applyBorder="1" applyAlignment="1">
      <alignment horizontal="center"/>
    </xf>
    <xf numFmtId="9" fontId="8" fillId="0" borderId="3" xfId="0" applyNumberFormat="1" applyFont="1" applyBorder="1" applyAlignment="1">
      <alignment horizontal="center"/>
    </xf>
    <xf numFmtId="9" fontId="8" fillId="0" borderId="5" xfId="0" applyNumberFormat="1" applyFont="1" applyBorder="1" applyAlignment="1">
      <alignment horizontal="center"/>
    </xf>
    <xf numFmtId="9" fontId="8" fillId="0" borderId="4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60"/>
  <sheetViews>
    <sheetView showGridLines="0" tabSelected="1" workbookViewId="0" topLeftCell="A1">
      <selection activeCell="I27" sqref="I27"/>
    </sheetView>
  </sheetViews>
  <sheetFormatPr defaultColWidth="9.00390625" defaultRowHeight="12.75"/>
  <cols>
    <col min="1" max="1" width="4.875" style="0" customWidth="1"/>
    <col min="2" max="2" width="8.75390625" style="0" customWidth="1"/>
    <col min="3" max="3" width="35.625" style="0" customWidth="1"/>
    <col min="4" max="4" width="12.00390625" style="33" customWidth="1"/>
    <col min="5" max="5" width="11.25390625" style="33" hidden="1" customWidth="1"/>
    <col min="6" max="6" width="12.25390625" style="33" customWidth="1"/>
    <col min="7" max="7" width="12.00390625" style="33" customWidth="1"/>
    <col min="8" max="8" width="11.625" style="33" hidden="1" customWidth="1"/>
    <col min="9" max="9" width="8.375" style="72" customWidth="1"/>
    <col min="10" max="10" width="7.00390625" style="102" customWidth="1"/>
    <col min="12" max="12" width="10.125" style="0" bestFit="1" customWidth="1"/>
  </cols>
  <sheetData>
    <row r="1" ht="12.75">
      <c r="D1" s="33" t="s">
        <v>157</v>
      </c>
    </row>
    <row r="3" spans="2:8" ht="14.25">
      <c r="B3" s="2" t="s">
        <v>231</v>
      </c>
      <c r="C3" s="21"/>
      <c r="D3" s="34"/>
      <c r="E3" s="34"/>
      <c r="F3" s="34"/>
      <c r="G3" s="34"/>
      <c r="H3" s="34"/>
    </row>
    <row r="4" spans="4:10" s="72" customFormat="1" ht="12">
      <c r="D4" s="73"/>
      <c r="E4" s="73"/>
      <c r="F4" s="73"/>
      <c r="G4" s="73"/>
      <c r="H4" s="73"/>
      <c r="J4" s="102"/>
    </row>
    <row r="5" spans="2:9" ht="12.75">
      <c r="B5" s="6" t="s">
        <v>0</v>
      </c>
      <c r="C5" s="6"/>
      <c r="I5" s="72" t="s">
        <v>156</v>
      </c>
    </row>
    <row r="6" spans="1:10" ht="12.75">
      <c r="A6" s="1"/>
      <c r="B6" s="26"/>
      <c r="C6" s="26"/>
      <c r="D6" s="74"/>
      <c r="E6" s="74"/>
      <c r="F6" s="74"/>
      <c r="G6" s="74"/>
      <c r="H6" s="74"/>
      <c r="J6" s="103"/>
    </row>
    <row r="7" spans="1:10" ht="12.75">
      <c r="A7" s="9"/>
      <c r="B7" s="9"/>
      <c r="C7" s="83"/>
      <c r="D7" s="93" t="s">
        <v>167</v>
      </c>
      <c r="E7" s="92"/>
      <c r="F7" s="96" t="s">
        <v>165</v>
      </c>
      <c r="G7" s="97" t="s">
        <v>148</v>
      </c>
      <c r="H7" s="82" t="s">
        <v>148</v>
      </c>
      <c r="I7" s="99" t="s">
        <v>230</v>
      </c>
      <c r="J7" s="121" t="s">
        <v>1</v>
      </c>
    </row>
    <row r="8" spans="1:10" ht="12.75">
      <c r="A8" s="9" t="s">
        <v>2</v>
      </c>
      <c r="B8" s="28" t="s">
        <v>3</v>
      </c>
      <c r="C8" s="10" t="s">
        <v>4</v>
      </c>
      <c r="D8" s="94" t="s">
        <v>164</v>
      </c>
      <c r="E8" s="81" t="s">
        <v>141</v>
      </c>
      <c r="F8" s="94" t="s">
        <v>166</v>
      </c>
      <c r="G8" s="98" t="s">
        <v>192</v>
      </c>
      <c r="H8" s="85" t="s">
        <v>149</v>
      </c>
      <c r="I8" s="104"/>
      <c r="J8" s="122" t="s">
        <v>184</v>
      </c>
    </row>
    <row r="9" spans="1:10" ht="12.75">
      <c r="A9" s="11"/>
      <c r="B9" s="11"/>
      <c r="C9" s="11"/>
      <c r="D9" s="95" t="s">
        <v>168</v>
      </c>
      <c r="E9" s="35" t="s">
        <v>142</v>
      </c>
      <c r="F9" s="95" t="s">
        <v>168</v>
      </c>
      <c r="G9" s="95"/>
      <c r="H9" s="35"/>
      <c r="I9" s="100" t="s">
        <v>130</v>
      </c>
      <c r="J9" s="123" t="s">
        <v>188</v>
      </c>
    </row>
    <row r="10" spans="1:10" ht="12.75">
      <c r="A10" s="80">
        <v>1</v>
      </c>
      <c r="B10" s="29">
        <v>2</v>
      </c>
      <c r="C10" s="29">
        <v>3</v>
      </c>
      <c r="D10" s="36">
        <v>4</v>
      </c>
      <c r="E10" s="36">
        <v>5</v>
      </c>
      <c r="F10" s="36">
        <v>5</v>
      </c>
      <c r="G10" s="36">
        <v>6</v>
      </c>
      <c r="H10" s="36">
        <v>6</v>
      </c>
      <c r="I10" s="105">
        <v>7</v>
      </c>
      <c r="J10" s="106">
        <v>8</v>
      </c>
    </row>
    <row r="11" spans="1:10" ht="12.75">
      <c r="A11" s="9"/>
      <c r="B11" s="42"/>
      <c r="C11" s="12"/>
      <c r="D11" s="31"/>
      <c r="E11" s="31"/>
      <c r="F11" s="31"/>
      <c r="G11" s="31"/>
      <c r="H11" s="31"/>
      <c r="I11" s="55"/>
      <c r="J11" s="107"/>
    </row>
    <row r="12" spans="1:10" s="4" customFormat="1" ht="15">
      <c r="A12" s="13">
        <v>1</v>
      </c>
      <c r="B12" s="69" t="s">
        <v>71</v>
      </c>
      <c r="C12" s="17" t="s">
        <v>38</v>
      </c>
      <c r="D12" s="24">
        <f>D63</f>
        <v>50</v>
      </c>
      <c r="E12" s="24">
        <f>E63</f>
        <v>0</v>
      </c>
      <c r="F12" s="24">
        <f>F63</f>
        <v>54</v>
      </c>
      <c r="G12" s="24">
        <f>G63</f>
        <v>54</v>
      </c>
      <c r="H12" s="24">
        <f>H63</f>
        <v>20</v>
      </c>
      <c r="I12" s="113">
        <f>G12/F12</f>
        <v>1</v>
      </c>
      <c r="J12" s="114">
        <f>G12/G$460</f>
        <v>3.1732066651913213E-06</v>
      </c>
    </row>
    <row r="13" spans="1:10" ht="12.75">
      <c r="A13" s="9"/>
      <c r="B13" s="42"/>
      <c r="C13" s="12"/>
      <c r="D13" s="30"/>
      <c r="E13" s="30"/>
      <c r="F13" s="30"/>
      <c r="G13" s="30"/>
      <c r="H13" s="30"/>
      <c r="I13" s="113"/>
      <c r="J13" s="114"/>
    </row>
    <row r="14" spans="1:10" ht="15">
      <c r="A14" s="9">
        <v>2</v>
      </c>
      <c r="B14" s="69">
        <v>600</v>
      </c>
      <c r="C14" s="17" t="s">
        <v>39</v>
      </c>
      <c r="D14" s="30">
        <f>D66</f>
        <v>34253</v>
      </c>
      <c r="E14" s="30">
        <f>E66</f>
        <v>0</v>
      </c>
      <c r="F14" s="30">
        <f>F66</f>
        <v>21060</v>
      </c>
      <c r="G14" s="30">
        <f>G66</f>
        <v>0</v>
      </c>
      <c r="H14" s="30">
        <f>H66</f>
        <v>0</v>
      </c>
      <c r="I14" s="113">
        <f>G14/F14</f>
        <v>0</v>
      </c>
      <c r="J14" s="114">
        <f>G14/G$460</f>
        <v>0</v>
      </c>
    </row>
    <row r="15" spans="1:10" ht="12.75">
      <c r="A15" s="9"/>
      <c r="B15" s="42"/>
      <c r="C15" s="12"/>
      <c r="D15" s="30"/>
      <c r="E15" s="30"/>
      <c r="F15" s="30"/>
      <c r="G15" s="30"/>
      <c r="H15" s="30"/>
      <c r="I15" s="113"/>
      <c r="J15" s="114"/>
    </row>
    <row r="16" spans="1:10" ht="15">
      <c r="A16" s="9">
        <v>3</v>
      </c>
      <c r="B16" s="69">
        <v>630</v>
      </c>
      <c r="C16" s="17" t="s">
        <v>51</v>
      </c>
      <c r="D16" s="30">
        <f>D73</f>
        <v>562050</v>
      </c>
      <c r="E16" s="30">
        <f>E73</f>
        <v>102050</v>
      </c>
      <c r="F16" s="30">
        <f>F73</f>
        <v>640110</v>
      </c>
      <c r="G16" s="30">
        <f>G73</f>
        <v>664100</v>
      </c>
      <c r="H16" s="30">
        <f>H73</f>
        <v>640050</v>
      </c>
      <c r="I16" s="113">
        <f>G16/F16</f>
        <v>1.0374779334801831</v>
      </c>
      <c r="J16" s="114">
        <f>G16/G$460</f>
        <v>0.03902456567321401</v>
      </c>
    </row>
    <row r="17" spans="1:10" ht="12.75">
      <c r="A17" s="9"/>
      <c r="B17" s="42"/>
      <c r="C17" s="12"/>
      <c r="D17" s="30"/>
      <c r="E17" s="30"/>
      <c r="F17" s="30"/>
      <c r="G17" s="30"/>
      <c r="H17" s="30"/>
      <c r="I17" s="113"/>
      <c r="J17" s="114"/>
    </row>
    <row r="18" spans="1:10" ht="15">
      <c r="A18" s="9">
        <v>4</v>
      </c>
      <c r="B18" s="69">
        <v>700</v>
      </c>
      <c r="C18" s="17" t="s">
        <v>41</v>
      </c>
      <c r="D18" s="30">
        <f>D77</f>
        <v>4315942</v>
      </c>
      <c r="E18" s="30">
        <f>E77</f>
        <v>889566</v>
      </c>
      <c r="F18" s="30">
        <f>F77</f>
        <v>3597271</v>
      </c>
      <c r="G18" s="30">
        <f>G77</f>
        <v>5174100</v>
      </c>
      <c r="H18" s="30" t="e">
        <f>H77</f>
        <v>#REF!</v>
      </c>
      <c r="I18" s="113">
        <f>G18/F18</f>
        <v>1.4383403418869471</v>
      </c>
      <c r="J18" s="114">
        <f>G18/G$460</f>
        <v>0.3040460853030818</v>
      </c>
    </row>
    <row r="19" spans="1:10" ht="12.75">
      <c r="A19" s="9"/>
      <c r="B19" s="42"/>
      <c r="C19" s="12"/>
      <c r="D19" s="30"/>
      <c r="E19" s="30"/>
      <c r="F19" s="30"/>
      <c r="G19" s="30"/>
      <c r="H19" s="30"/>
      <c r="I19" s="113"/>
      <c r="J19" s="114"/>
    </row>
    <row r="20" spans="1:10" s="78" customFormat="1" ht="15" customHeight="1">
      <c r="A20" s="77">
        <v>5</v>
      </c>
      <c r="B20" s="70">
        <v>710</v>
      </c>
      <c r="C20" s="46" t="s">
        <v>131</v>
      </c>
      <c r="D20" s="47">
        <f>D111</f>
        <v>10100</v>
      </c>
      <c r="E20" s="47">
        <f>E111</f>
        <v>0</v>
      </c>
      <c r="F20" s="47">
        <f>F111</f>
        <v>10550</v>
      </c>
      <c r="G20" s="47">
        <f>G111</f>
        <v>8800</v>
      </c>
      <c r="H20" s="47">
        <f>H111</f>
        <v>8800</v>
      </c>
      <c r="I20" s="113">
        <f>G20/F20</f>
        <v>0.8341232227488151</v>
      </c>
      <c r="J20" s="114">
        <f>G20/G$460</f>
        <v>0.0005171151602534006</v>
      </c>
    </row>
    <row r="21" spans="1:10" ht="12.75">
      <c r="A21" s="9"/>
      <c r="B21" s="42"/>
      <c r="C21" s="12"/>
      <c r="D21" s="30"/>
      <c r="E21" s="30"/>
      <c r="F21" s="30"/>
      <c r="G21" s="30"/>
      <c r="H21" s="30"/>
      <c r="I21" s="113"/>
      <c r="J21" s="114"/>
    </row>
    <row r="22" spans="1:10" ht="15">
      <c r="A22" s="9">
        <v>6</v>
      </c>
      <c r="B22" s="70">
        <v>750</v>
      </c>
      <c r="C22" s="46" t="s">
        <v>85</v>
      </c>
      <c r="D22" s="30">
        <f>D116</f>
        <v>134700</v>
      </c>
      <c r="E22" s="30" t="e">
        <f>E116</f>
        <v>#REF!</v>
      </c>
      <c r="F22" s="30">
        <f>F116</f>
        <v>163900</v>
      </c>
      <c r="G22" s="30">
        <f>G116</f>
        <v>125100</v>
      </c>
      <c r="H22" s="30" t="e">
        <f>H116</f>
        <v>#REF!</v>
      </c>
      <c r="I22" s="113">
        <f>G22/F22</f>
        <v>0.7632702867602197</v>
      </c>
      <c r="J22" s="114">
        <f>G22/G$460</f>
        <v>0.007351262107693228</v>
      </c>
    </row>
    <row r="23" spans="1:10" ht="15">
      <c r="A23" s="9"/>
      <c r="B23" s="70"/>
      <c r="C23" s="46"/>
      <c r="D23" s="30"/>
      <c r="E23" s="30"/>
      <c r="F23" s="30"/>
      <c r="G23" s="30"/>
      <c r="H23" s="30"/>
      <c r="I23" s="113"/>
      <c r="J23" s="114"/>
    </row>
    <row r="24" spans="1:10" ht="15">
      <c r="A24" s="9">
        <v>7</v>
      </c>
      <c r="B24" s="69">
        <v>751</v>
      </c>
      <c r="C24" s="45" t="s">
        <v>66</v>
      </c>
      <c r="D24" s="30"/>
      <c r="E24" s="30"/>
      <c r="F24" s="30"/>
      <c r="G24" s="30"/>
      <c r="H24" s="30"/>
      <c r="I24" s="113"/>
      <c r="J24" s="114"/>
    </row>
    <row r="25" spans="1:10" ht="15">
      <c r="A25" s="9"/>
      <c r="B25" s="69"/>
      <c r="C25" s="45" t="s">
        <v>67</v>
      </c>
      <c r="D25" s="30"/>
      <c r="E25" s="30"/>
      <c r="F25" s="30"/>
      <c r="G25" s="30"/>
      <c r="H25" s="30"/>
      <c r="I25" s="113"/>
      <c r="J25" s="114"/>
    </row>
    <row r="26" spans="1:10" ht="15">
      <c r="A26" s="9"/>
      <c r="B26" s="69"/>
      <c r="C26" s="45" t="s">
        <v>68</v>
      </c>
      <c r="D26" s="30">
        <f>D147</f>
        <v>18020</v>
      </c>
      <c r="E26" s="30">
        <f>E147</f>
        <v>-7428</v>
      </c>
      <c r="F26" s="30">
        <f>F147</f>
        <v>18020</v>
      </c>
      <c r="G26" s="30">
        <f>G147</f>
        <v>1120</v>
      </c>
      <c r="H26" s="30" t="e">
        <f>H147</f>
        <v>#REF!</v>
      </c>
      <c r="I26" s="113">
        <f>G26/F26</f>
        <v>0.06215316315205328</v>
      </c>
      <c r="J26" s="114">
        <f>G26/G$460</f>
        <v>6.581465675952371E-05</v>
      </c>
    </row>
    <row r="27" spans="1:10" ht="15">
      <c r="A27" s="9"/>
      <c r="B27" s="69"/>
      <c r="C27" s="45"/>
      <c r="D27" s="30"/>
      <c r="E27" s="30"/>
      <c r="F27" s="30"/>
      <c r="G27" s="30"/>
      <c r="H27" s="30"/>
      <c r="I27" s="113"/>
      <c r="J27" s="114"/>
    </row>
    <row r="28" spans="1:10" ht="15">
      <c r="A28" s="9">
        <v>8</v>
      </c>
      <c r="B28" s="69">
        <v>754</v>
      </c>
      <c r="C28" s="12" t="s">
        <v>6</v>
      </c>
      <c r="D28" s="30"/>
      <c r="E28" s="30"/>
      <c r="F28" s="30"/>
      <c r="G28" s="30"/>
      <c r="H28" s="30"/>
      <c r="I28" s="113"/>
      <c r="J28" s="114"/>
    </row>
    <row r="29" spans="1:10" ht="15">
      <c r="A29" s="9"/>
      <c r="B29" s="69"/>
      <c r="C29" s="12" t="s">
        <v>59</v>
      </c>
      <c r="D29" s="30">
        <f>D169</f>
        <v>16000</v>
      </c>
      <c r="E29" s="30">
        <f>E169</f>
        <v>4000</v>
      </c>
      <c r="F29" s="30">
        <f>F169</f>
        <v>20000</v>
      </c>
      <c r="G29" s="30">
        <f>G169</f>
        <v>20000</v>
      </c>
      <c r="H29" s="30">
        <f>H169</f>
        <v>16000</v>
      </c>
      <c r="I29" s="113">
        <f>G29/F29</f>
        <v>1</v>
      </c>
      <c r="J29" s="114">
        <f>G29/G$460</f>
        <v>0.0011752617278486376</v>
      </c>
    </row>
    <row r="30" spans="1:10" ht="12.75">
      <c r="A30" s="9"/>
      <c r="B30" s="42"/>
      <c r="C30" s="12"/>
      <c r="D30" s="30"/>
      <c r="E30" s="30"/>
      <c r="F30" s="30"/>
      <c r="G30" s="30"/>
      <c r="H30" s="30"/>
      <c r="I30" s="113"/>
      <c r="J30" s="114"/>
    </row>
    <row r="31" spans="1:10" ht="15">
      <c r="A31" s="9">
        <v>9</v>
      </c>
      <c r="B31" s="69">
        <v>756</v>
      </c>
      <c r="C31" s="17" t="s">
        <v>22</v>
      </c>
      <c r="D31" s="30"/>
      <c r="E31" s="30"/>
      <c r="F31" s="30"/>
      <c r="G31" s="30"/>
      <c r="H31" s="30"/>
      <c r="I31" s="113"/>
      <c r="J31" s="114"/>
    </row>
    <row r="32" spans="1:10" ht="15">
      <c r="A32" s="9"/>
      <c r="B32" s="69"/>
      <c r="C32" s="17" t="s">
        <v>23</v>
      </c>
      <c r="D32" s="30">
        <f>D179</f>
        <v>6883976</v>
      </c>
      <c r="E32" s="30" t="e">
        <f>E179</f>
        <v>#REF!</v>
      </c>
      <c r="F32" s="30">
        <f>F179</f>
        <v>6826350</v>
      </c>
      <c r="G32" s="30">
        <f>G179</f>
        <v>7645793</v>
      </c>
      <c r="H32" s="30">
        <f>H179</f>
        <v>6392351</v>
      </c>
      <c r="I32" s="113">
        <f>G32/F32</f>
        <v>1.1200411640188388</v>
      </c>
      <c r="J32" s="114">
        <f>G32/G$460</f>
        <v>0.4492903945976509</v>
      </c>
    </row>
    <row r="33" spans="1:10" ht="12.75">
      <c r="A33" s="9"/>
      <c r="B33" s="42"/>
      <c r="C33" s="12"/>
      <c r="D33" s="30"/>
      <c r="E33" s="30"/>
      <c r="F33" s="30"/>
      <c r="G33" s="30"/>
      <c r="H33" s="30"/>
      <c r="I33" s="113"/>
      <c r="J33" s="114"/>
    </row>
    <row r="34" spans="1:10" ht="15">
      <c r="A34" s="9">
        <v>10</v>
      </c>
      <c r="B34" s="69">
        <v>758</v>
      </c>
      <c r="C34" s="17" t="s">
        <v>185</v>
      </c>
      <c r="D34" s="30">
        <f>D233</f>
        <v>2658312</v>
      </c>
      <c r="E34" s="30">
        <f>E233</f>
        <v>-463187</v>
      </c>
      <c r="F34" s="30">
        <f>F233</f>
        <v>2641156</v>
      </c>
      <c r="G34" s="30">
        <f>G233</f>
        <v>2626639</v>
      </c>
      <c r="H34" s="30">
        <f>H233</f>
        <v>2564317</v>
      </c>
      <c r="I34" s="113">
        <f>G34/F34</f>
        <v>0.9945035431455015</v>
      </c>
      <c r="J34" s="114">
        <f>G34/G$460</f>
        <v>0.15434941447873088</v>
      </c>
    </row>
    <row r="35" spans="1:10" ht="12.75">
      <c r="A35" s="9"/>
      <c r="B35" s="42"/>
      <c r="C35" s="12"/>
      <c r="D35" s="30"/>
      <c r="E35" s="30"/>
      <c r="F35" s="30"/>
      <c r="G35" s="30"/>
      <c r="H35" s="30"/>
      <c r="I35" s="113"/>
      <c r="J35" s="114"/>
    </row>
    <row r="36" spans="1:10" ht="15">
      <c r="A36" s="9">
        <v>11</v>
      </c>
      <c r="B36" s="69">
        <v>801</v>
      </c>
      <c r="C36" s="20" t="s">
        <v>17</v>
      </c>
      <c r="D36" s="30">
        <f>D258</f>
        <v>278058</v>
      </c>
      <c r="E36" s="30">
        <f>E258</f>
        <v>-21680</v>
      </c>
      <c r="F36" s="30">
        <f>F258</f>
        <v>278533</v>
      </c>
      <c r="G36" s="30">
        <f>G258</f>
        <v>431280</v>
      </c>
      <c r="H36" s="30" t="e">
        <f>H258</f>
        <v>#REF!</v>
      </c>
      <c r="I36" s="113">
        <f>G36/F36</f>
        <v>1.5483982149332396</v>
      </c>
      <c r="J36" s="114">
        <f>G36/G$460</f>
        <v>0.02534334389932802</v>
      </c>
    </row>
    <row r="37" spans="1:10" ht="15">
      <c r="A37" s="9"/>
      <c r="B37" s="69"/>
      <c r="C37" s="20"/>
      <c r="D37" s="30"/>
      <c r="E37" s="30"/>
      <c r="F37" s="30"/>
      <c r="G37" s="30"/>
      <c r="H37" s="30"/>
      <c r="I37" s="113"/>
      <c r="J37" s="114"/>
    </row>
    <row r="38" spans="1:10" ht="15">
      <c r="A38" s="9"/>
      <c r="B38" s="70">
        <v>852</v>
      </c>
      <c r="C38" s="46" t="s">
        <v>197</v>
      </c>
      <c r="D38" s="30">
        <f>D308</f>
        <v>0</v>
      </c>
      <c r="E38" s="30"/>
      <c r="F38" s="30">
        <f>F308</f>
        <v>0</v>
      </c>
      <c r="G38" s="30">
        <f>G308</f>
        <v>320500</v>
      </c>
      <c r="H38" s="30"/>
      <c r="I38" s="113"/>
      <c r="J38" s="114">
        <f>G38/G$460</f>
        <v>0.018833569188774418</v>
      </c>
    </row>
    <row r="39" spans="1:10" ht="12.75">
      <c r="A39" s="9"/>
      <c r="B39" s="42"/>
      <c r="C39" s="12"/>
      <c r="D39" s="30"/>
      <c r="E39" s="30"/>
      <c r="F39" s="30"/>
      <c r="G39" s="30"/>
      <c r="H39" s="30"/>
      <c r="I39" s="113"/>
      <c r="J39" s="114"/>
    </row>
    <row r="40" spans="1:10" ht="15">
      <c r="A40" s="9">
        <v>12</v>
      </c>
      <c r="B40" s="69">
        <v>853</v>
      </c>
      <c r="C40" s="17" t="s">
        <v>20</v>
      </c>
      <c r="D40" s="30">
        <f>D355</f>
        <v>650491</v>
      </c>
      <c r="E40" s="30">
        <f>E355</f>
        <v>-633896</v>
      </c>
      <c r="F40" s="30">
        <f>F355</f>
        <v>646713</v>
      </c>
      <c r="G40" s="30">
        <f>G355</f>
        <v>0</v>
      </c>
      <c r="H40" s="30" t="e">
        <f>H355</f>
        <v>#REF!</v>
      </c>
      <c r="I40" s="113">
        <f>G40/F40</f>
        <v>0</v>
      </c>
      <c r="J40" s="114">
        <f>G40/G$460</f>
        <v>0</v>
      </c>
    </row>
    <row r="41" spans="1:10" ht="15">
      <c r="A41" s="9"/>
      <c r="B41" s="69"/>
      <c r="C41" s="17"/>
      <c r="D41" s="30"/>
      <c r="E41" s="30"/>
      <c r="F41" s="30"/>
      <c r="G41" s="30"/>
      <c r="H41" s="30"/>
      <c r="I41" s="113"/>
      <c r="J41" s="114"/>
    </row>
    <row r="42" spans="1:10" ht="15">
      <c r="A42" s="9">
        <v>13</v>
      </c>
      <c r="B42" s="70">
        <v>854</v>
      </c>
      <c r="C42" s="46" t="s">
        <v>42</v>
      </c>
      <c r="D42" s="30"/>
      <c r="E42" s="30"/>
      <c r="F42" s="30"/>
      <c r="G42" s="30"/>
      <c r="H42" s="30"/>
      <c r="I42" s="113"/>
      <c r="J42" s="114"/>
    </row>
    <row r="43" spans="1:10" ht="15">
      <c r="A43" s="9"/>
      <c r="B43" s="70"/>
      <c r="C43" s="46" t="s">
        <v>43</v>
      </c>
      <c r="D43" s="66">
        <f>D409</f>
        <v>403120</v>
      </c>
      <c r="E43" s="66">
        <f>E409</f>
        <v>-402580</v>
      </c>
      <c r="F43" s="66">
        <f>F409</f>
        <v>408038</v>
      </c>
      <c r="G43" s="66">
        <f>G409</f>
        <v>0</v>
      </c>
      <c r="H43" s="66">
        <f>H409</f>
        <v>323080</v>
      </c>
      <c r="I43" s="113">
        <f>G43/F43</f>
        <v>0</v>
      </c>
      <c r="J43" s="114">
        <f>G43/G$460</f>
        <v>0</v>
      </c>
    </row>
    <row r="44" spans="1:10" ht="12.75">
      <c r="A44" s="13"/>
      <c r="B44" s="42"/>
      <c r="C44" s="12"/>
      <c r="D44" s="30"/>
      <c r="E44" s="30"/>
      <c r="F44" s="30"/>
      <c r="G44" s="30"/>
      <c r="H44" s="30"/>
      <c r="I44" s="113"/>
      <c r="J44" s="114"/>
    </row>
    <row r="45" spans="1:10" ht="15">
      <c r="A45" s="13">
        <v>14</v>
      </c>
      <c r="B45" s="69">
        <v>900</v>
      </c>
      <c r="C45" s="17" t="s">
        <v>5</v>
      </c>
      <c r="D45" s="30"/>
      <c r="E45" s="30"/>
      <c r="F45" s="30"/>
      <c r="G45" s="30"/>
      <c r="H45" s="30"/>
      <c r="I45" s="113"/>
      <c r="J45" s="114"/>
    </row>
    <row r="46" spans="1:10" ht="15">
      <c r="A46" s="13"/>
      <c r="B46" s="69"/>
      <c r="C46" s="17" t="s">
        <v>40</v>
      </c>
      <c r="D46" s="30">
        <f>D447</f>
        <v>101000</v>
      </c>
      <c r="E46" s="30">
        <f>E447</f>
        <v>-101000</v>
      </c>
      <c r="F46" s="30">
        <f>F447</f>
        <v>101000</v>
      </c>
      <c r="G46" s="30">
        <f>G447</f>
        <v>0</v>
      </c>
      <c r="H46" s="30" t="e">
        <f>H447</f>
        <v>#REF!</v>
      </c>
      <c r="I46" s="113">
        <f>G46/F46</f>
        <v>0</v>
      </c>
      <c r="J46" s="114">
        <f>G46/G$460</f>
        <v>0</v>
      </c>
    </row>
    <row r="47" spans="1:10" ht="15">
      <c r="A47" s="13"/>
      <c r="B47" s="69"/>
      <c r="C47" s="17"/>
      <c r="D47" s="30"/>
      <c r="E47" s="30"/>
      <c r="F47" s="30"/>
      <c r="G47" s="30"/>
      <c r="H47" s="30"/>
      <c r="I47" s="113"/>
      <c r="J47" s="114"/>
    </row>
    <row r="48" spans="1:10" ht="15">
      <c r="A48" s="13">
        <v>15</v>
      </c>
      <c r="B48" s="69">
        <v>926</v>
      </c>
      <c r="C48" s="17" t="s">
        <v>191</v>
      </c>
      <c r="D48" s="30">
        <f>D455</f>
        <v>11600</v>
      </c>
      <c r="E48" s="30"/>
      <c r="F48" s="30">
        <f>F455</f>
        <v>11610</v>
      </c>
      <c r="G48" s="30">
        <f>G455</f>
        <v>0</v>
      </c>
      <c r="H48" s="30"/>
      <c r="I48" s="113"/>
      <c r="J48" s="114"/>
    </row>
    <row r="49" spans="1:11" ht="15">
      <c r="A49" s="14"/>
      <c r="B49" s="71"/>
      <c r="C49" s="68"/>
      <c r="D49" s="32"/>
      <c r="E49" s="32"/>
      <c r="F49" s="32"/>
      <c r="G49" s="32"/>
      <c r="H49" s="32"/>
      <c r="I49" s="119"/>
      <c r="J49" s="120"/>
      <c r="K49" s="43"/>
    </row>
    <row r="50" spans="1:10" ht="12.75">
      <c r="A50" s="13"/>
      <c r="B50" s="12"/>
      <c r="C50" s="12" t="s">
        <v>7</v>
      </c>
      <c r="D50" s="30">
        <f>SUM(D12:D48)</f>
        <v>16077672</v>
      </c>
      <c r="E50" s="30" t="e">
        <f>SUM(E12:E46)</f>
        <v>#REF!</v>
      </c>
      <c r="F50" s="30">
        <f>SUM(F12:F48)</f>
        <v>15384365</v>
      </c>
      <c r="G50" s="30">
        <f>SUM(G12:G48)</f>
        <v>17017486</v>
      </c>
      <c r="H50" s="30" t="e">
        <f>SUM(H12:H46)</f>
        <v>#REF!</v>
      </c>
      <c r="I50" s="113">
        <f>G50/F50</f>
        <v>1.1061545926659957</v>
      </c>
      <c r="J50" s="114">
        <f>G50/G$460</f>
        <v>1</v>
      </c>
    </row>
    <row r="51" spans="1:10" ht="12.75">
      <c r="A51" s="14"/>
      <c r="B51" s="15"/>
      <c r="C51" s="15"/>
      <c r="D51" s="32"/>
      <c r="E51" s="32"/>
      <c r="F51" s="32"/>
      <c r="G51" s="32"/>
      <c r="H51" s="32"/>
      <c r="I51" s="109"/>
      <c r="J51" s="110"/>
    </row>
    <row r="52" spans="1:10" ht="12.75">
      <c r="A52" s="7"/>
      <c r="B52" s="8"/>
      <c r="C52" s="8"/>
      <c r="D52" s="91"/>
      <c r="E52" s="91"/>
      <c r="F52" s="91"/>
      <c r="G52" s="91"/>
      <c r="H52" s="91"/>
      <c r="I52" s="111"/>
      <c r="J52" s="112"/>
    </row>
    <row r="53" spans="1:10" ht="12.75">
      <c r="A53" s="7"/>
      <c r="B53" s="8"/>
      <c r="C53" s="8"/>
      <c r="D53" s="91"/>
      <c r="E53" s="91"/>
      <c r="F53" s="91"/>
      <c r="G53" s="91"/>
      <c r="H53" s="91"/>
      <c r="I53" s="111"/>
      <c r="J53" s="112"/>
    </row>
    <row r="54" spans="1:10" ht="12.75">
      <c r="A54" s="7"/>
      <c r="B54" s="8"/>
      <c r="C54" s="8"/>
      <c r="D54" s="91"/>
      <c r="E54" s="91"/>
      <c r="F54" s="91"/>
      <c r="G54" s="91"/>
      <c r="H54" s="91"/>
      <c r="I54" s="111"/>
      <c r="J54" s="112"/>
    </row>
    <row r="55" spans="1:10" ht="12.75">
      <c r="A55" s="7"/>
      <c r="B55" s="8"/>
      <c r="C55" s="8"/>
      <c r="D55" s="91"/>
      <c r="E55" s="91"/>
      <c r="F55" s="91"/>
      <c r="G55" s="91"/>
      <c r="H55" s="91"/>
      <c r="I55" s="111"/>
      <c r="J55" s="112"/>
    </row>
    <row r="56" spans="1:8" ht="12.75">
      <c r="A56" s="7"/>
      <c r="B56" s="8"/>
      <c r="C56" s="7"/>
      <c r="D56" s="37"/>
      <c r="E56" s="37"/>
      <c r="F56" s="37"/>
      <c r="G56" s="37"/>
      <c r="H56" s="37"/>
    </row>
    <row r="57" spans="1:9" ht="12.75">
      <c r="A57" s="6"/>
      <c r="B57" s="2" t="s">
        <v>8</v>
      </c>
      <c r="C57" s="2"/>
      <c r="D57" s="38"/>
      <c r="E57" s="38"/>
      <c r="F57" s="38"/>
      <c r="G57" s="38"/>
      <c r="H57" s="38"/>
      <c r="I57" s="72" t="s">
        <v>156</v>
      </c>
    </row>
    <row r="58" spans="1:10" ht="12.75">
      <c r="A58" s="26"/>
      <c r="B58" s="5"/>
      <c r="C58" s="5"/>
      <c r="D58" s="75"/>
      <c r="E58" s="75"/>
      <c r="F58" s="75"/>
      <c r="G58" s="75"/>
      <c r="H58" s="75"/>
      <c r="J58" s="103"/>
    </row>
    <row r="59" spans="1:10" ht="12.75">
      <c r="A59" s="9"/>
      <c r="B59" s="9"/>
      <c r="C59" s="83"/>
      <c r="D59" s="93" t="s">
        <v>167</v>
      </c>
      <c r="E59" s="92"/>
      <c r="F59" s="96" t="s">
        <v>165</v>
      </c>
      <c r="G59" s="97" t="s">
        <v>148</v>
      </c>
      <c r="H59" s="82" t="s">
        <v>148</v>
      </c>
      <c r="I59" s="99" t="s">
        <v>230</v>
      </c>
      <c r="J59" s="124" t="s">
        <v>1</v>
      </c>
    </row>
    <row r="60" spans="1:10" ht="12.75">
      <c r="A60" s="9" t="s">
        <v>2</v>
      </c>
      <c r="B60" s="28" t="s">
        <v>3</v>
      </c>
      <c r="C60" s="10" t="s">
        <v>4</v>
      </c>
      <c r="D60" s="94" t="s">
        <v>164</v>
      </c>
      <c r="E60" s="81" t="s">
        <v>141</v>
      </c>
      <c r="F60" s="94" t="s">
        <v>166</v>
      </c>
      <c r="G60" s="98" t="s">
        <v>188</v>
      </c>
      <c r="H60" s="85" t="s">
        <v>149</v>
      </c>
      <c r="I60" s="104"/>
      <c r="J60" s="124" t="s">
        <v>184</v>
      </c>
    </row>
    <row r="61" spans="1:10" ht="12.75">
      <c r="A61" s="11"/>
      <c r="B61" s="11"/>
      <c r="C61" s="11"/>
      <c r="D61" s="95" t="s">
        <v>186</v>
      </c>
      <c r="E61" s="35" t="s">
        <v>142</v>
      </c>
      <c r="F61" s="95" t="s">
        <v>168</v>
      </c>
      <c r="G61" s="95"/>
      <c r="H61" s="35"/>
      <c r="I61" s="100" t="s">
        <v>130</v>
      </c>
      <c r="J61" s="125" t="s">
        <v>188</v>
      </c>
    </row>
    <row r="62" spans="1:10" ht="12.75">
      <c r="A62" s="80">
        <v>1</v>
      </c>
      <c r="B62" s="29">
        <v>2</v>
      </c>
      <c r="C62" s="29">
        <v>3</v>
      </c>
      <c r="D62" s="36">
        <v>4</v>
      </c>
      <c r="E62" s="36">
        <v>5</v>
      </c>
      <c r="F62" s="36">
        <v>5</v>
      </c>
      <c r="G62" s="36">
        <v>6</v>
      </c>
      <c r="H62" s="36">
        <v>6</v>
      </c>
      <c r="I62" s="105">
        <v>7</v>
      </c>
      <c r="J62" s="106">
        <v>8</v>
      </c>
    </row>
    <row r="63" spans="1:10" s="4" customFormat="1" ht="15">
      <c r="A63" s="13">
        <v>1</v>
      </c>
      <c r="B63" s="16" t="s">
        <v>71</v>
      </c>
      <c r="C63" s="17" t="s">
        <v>38</v>
      </c>
      <c r="D63" s="24">
        <f>SUM(D64)</f>
        <v>50</v>
      </c>
      <c r="E63" s="24">
        <f>SUM(E64)</f>
        <v>0</v>
      </c>
      <c r="F63" s="24">
        <f>SUM(F64)</f>
        <v>54</v>
      </c>
      <c r="G63" s="24">
        <f>SUM(G64)</f>
        <v>54</v>
      </c>
      <c r="H63" s="24">
        <f>SUM(H64)</f>
        <v>20</v>
      </c>
      <c r="I63" s="113">
        <f aca="true" t="shared" si="0" ref="I63:I125">G63/F63</f>
        <v>1</v>
      </c>
      <c r="J63" s="114">
        <f>G63/G$460</f>
        <v>3.1732066651913213E-06</v>
      </c>
    </row>
    <row r="64" spans="1:10" s="3" customFormat="1" ht="12.75">
      <c r="A64" s="13">
        <f>A63+1</f>
        <v>2</v>
      </c>
      <c r="B64" s="18" t="s">
        <v>129</v>
      </c>
      <c r="C64" s="19" t="s">
        <v>9</v>
      </c>
      <c r="D64" s="25">
        <f>SUM(D65:D65)</f>
        <v>50</v>
      </c>
      <c r="E64" s="25">
        <f>SUM(E65:E65)</f>
        <v>0</v>
      </c>
      <c r="F64" s="25">
        <f>SUM(F65:F65)</f>
        <v>54</v>
      </c>
      <c r="G64" s="25">
        <f>SUM(G65:G65)</f>
        <v>54</v>
      </c>
      <c r="H64" s="25">
        <f>SUM(H65:H65)</f>
        <v>20</v>
      </c>
      <c r="I64" s="115">
        <f t="shared" si="0"/>
        <v>1</v>
      </c>
      <c r="J64" s="116">
        <f>G64/G$460</f>
        <v>3.1732066651913213E-06</v>
      </c>
    </row>
    <row r="65" spans="1:10" s="6" customFormat="1" ht="12.75">
      <c r="A65" s="13">
        <f>A64+1</f>
        <v>3</v>
      </c>
      <c r="B65" s="23" t="s">
        <v>196</v>
      </c>
      <c r="C65" s="44" t="s">
        <v>10</v>
      </c>
      <c r="D65" s="41">
        <v>50</v>
      </c>
      <c r="E65" s="41">
        <v>0</v>
      </c>
      <c r="F65" s="41">
        <v>54</v>
      </c>
      <c r="G65" s="41">
        <v>54</v>
      </c>
      <c r="H65" s="41">
        <v>20</v>
      </c>
      <c r="I65" s="108">
        <f t="shared" si="0"/>
        <v>1</v>
      </c>
      <c r="J65" s="107">
        <f>G65/G$460</f>
        <v>3.1732066651913213E-06</v>
      </c>
    </row>
    <row r="66" spans="1:10" s="4" customFormat="1" ht="15">
      <c r="A66" s="13">
        <f aca="true" t="shared" si="1" ref="A66:A131">A65+1</f>
        <v>4</v>
      </c>
      <c r="B66" s="16">
        <v>600</v>
      </c>
      <c r="C66" s="17" t="s">
        <v>39</v>
      </c>
      <c r="D66" s="24">
        <f>D67+D71</f>
        <v>34253</v>
      </c>
      <c r="E66" s="24">
        <f>E67+E71</f>
        <v>0</v>
      </c>
      <c r="F66" s="24">
        <f>F67+F71</f>
        <v>21060</v>
      </c>
      <c r="G66" s="24">
        <f>G67+G71</f>
        <v>0</v>
      </c>
      <c r="H66" s="24">
        <f>H67</f>
        <v>0</v>
      </c>
      <c r="I66" s="113">
        <f t="shared" si="0"/>
        <v>0</v>
      </c>
      <c r="J66" s="114">
        <f>G66/G$460</f>
        <v>0</v>
      </c>
    </row>
    <row r="67" spans="1:10" s="52" customFormat="1" ht="12.75">
      <c r="A67" s="13">
        <f t="shared" si="1"/>
        <v>5</v>
      </c>
      <c r="B67" s="53">
        <v>60014</v>
      </c>
      <c r="C67" s="50" t="s">
        <v>98</v>
      </c>
      <c r="D67" s="51">
        <f>D70</f>
        <v>34253</v>
      </c>
      <c r="E67" s="51">
        <f>E70</f>
        <v>0</v>
      </c>
      <c r="F67" s="51">
        <f>F70</f>
        <v>21060</v>
      </c>
      <c r="G67" s="51">
        <f>G70</f>
        <v>0</v>
      </c>
      <c r="H67" s="51">
        <f>H70</f>
        <v>0</v>
      </c>
      <c r="I67" s="115">
        <f t="shared" si="0"/>
        <v>0</v>
      </c>
      <c r="J67" s="116">
        <f>G67/G$460</f>
        <v>0</v>
      </c>
    </row>
    <row r="68" spans="1:10" s="60" customFormat="1" ht="12.75">
      <c r="A68" s="13">
        <f t="shared" si="1"/>
        <v>6</v>
      </c>
      <c r="B68" s="57">
        <v>2320</v>
      </c>
      <c r="C68" s="61" t="s">
        <v>99</v>
      </c>
      <c r="D68" s="59"/>
      <c r="E68" s="59"/>
      <c r="F68" s="59"/>
      <c r="G68" s="59"/>
      <c r="H68" s="59"/>
      <c r="I68" s="108"/>
      <c r="J68" s="107"/>
    </row>
    <row r="69" spans="1:10" s="60" customFormat="1" ht="12.75">
      <c r="A69" s="13">
        <f t="shared" si="1"/>
        <v>7</v>
      </c>
      <c r="B69" s="57"/>
      <c r="C69" s="61" t="s">
        <v>227</v>
      </c>
      <c r="D69" s="59"/>
      <c r="E69" s="59"/>
      <c r="F69" s="59"/>
      <c r="G69" s="59"/>
      <c r="H69" s="59"/>
      <c r="I69" s="108"/>
      <c r="J69" s="107"/>
    </row>
    <row r="70" spans="1:10" s="60" customFormat="1" ht="12.75">
      <c r="A70" s="13">
        <f t="shared" si="1"/>
        <v>8</v>
      </c>
      <c r="B70" s="57"/>
      <c r="C70" s="61" t="s">
        <v>100</v>
      </c>
      <c r="D70" s="59">
        <v>34253</v>
      </c>
      <c r="E70" s="59">
        <v>0</v>
      </c>
      <c r="F70" s="59">
        <v>21060</v>
      </c>
      <c r="G70" s="59">
        <v>0</v>
      </c>
      <c r="H70" s="59">
        <v>0</v>
      </c>
      <c r="I70" s="108">
        <f t="shared" si="0"/>
        <v>0</v>
      </c>
      <c r="J70" s="107">
        <f aca="true" t="shared" si="2" ref="J70:J78">G70/G$460</f>
        <v>0</v>
      </c>
    </row>
    <row r="71" spans="1:10" s="90" customFormat="1" ht="12.75">
      <c r="A71" s="13">
        <f t="shared" si="1"/>
        <v>9</v>
      </c>
      <c r="B71" s="53">
        <v>60016</v>
      </c>
      <c r="C71" s="88" t="s">
        <v>159</v>
      </c>
      <c r="D71" s="89">
        <f>SUM(D72)</f>
        <v>0</v>
      </c>
      <c r="E71" s="89">
        <f>SUM(E72)</f>
        <v>0</v>
      </c>
      <c r="F71" s="89">
        <f>SUM(F72)</f>
        <v>0</v>
      </c>
      <c r="G71" s="89">
        <f>SUM(G72)</f>
        <v>0</v>
      </c>
      <c r="H71" s="89"/>
      <c r="I71" s="115"/>
      <c r="J71" s="116">
        <f t="shared" si="2"/>
        <v>0</v>
      </c>
    </row>
    <row r="72" spans="1:10" s="60" customFormat="1" ht="12.75">
      <c r="A72" s="13">
        <f t="shared" si="1"/>
        <v>10</v>
      </c>
      <c r="B72" s="57" t="s">
        <v>200</v>
      </c>
      <c r="C72" s="61" t="s">
        <v>72</v>
      </c>
      <c r="D72" s="59">
        <v>0</v>
      </c>
      <c r="E72" s="59"/>
      <c r="F72" s="59">
        <v>0</v>
      </c>
      <c r="G72" s="59">
        <v>0</v>
      </c>
      <c r="H72" s="59"/>
      <c r="I72" s="108"/>
      <c r="J72" s="107">
        <f t="shared" si="2"/>
        <v>0</v>
      </c>
    </row>
    <row r="73" spans="1:10" s="4" customFormat="1" ht="15">
      <c r="A73" s="13">
        <f t="shared" si="1"/>
        <v>11</v>
      </c>
      <c r="B73" s="16">
        <v>630</v>
      </c>
      <c r="C73" s="17" t="s">
        <v>51</v>
      </c>
      <c r="D73" s="24">
        <f>D74</f>
        <v>562050</v>
      </c>
      <c r="E73" s="24">
        <f>E74</f>
        <v>102050</v>
      </c>
      <c r="F73" s="24">
        <f>F74</f>
        <v>640110</v>
      </c>
      <c r="G73" s="24">
        <f>G74</f>
        <v>664100</v>
      </c>
      <c r="H73" s="24">
        <f>H74</f>
        <v>640050</v>
      </c>
      <c r="I73" s="113">
        <f t="shared" si="0"/>
        <v>1.0374779334801831</v>
      </c>
      <c r="J73" s="114">
        <f t="shared" si="2"/>
        <v>0.03902456567321401</v>
      </c>
    </row>
    <row r="74" spans="1:10" s="3" customFormat="1" ht="12.75">
      <c r="A74" s="13">
        <f t="shared" si="1"/>
        <v>12</v>
      </c>
      <c r="B74" s="18">
        <v>63095</v>
      </c>
      <c r="C74" s="19" t="s">
        <v>9</v>
      </c>
      <c r="D74" s="25">
        <f>SUM(D75:D76)</f>
        <v>562050</v>
      </c>
      <c r="E74" s="25">
        <f>SUM(E75:E76)</f>
        <v>102050</v>
      </c>
      <c r="F74" s="25">
        <f>SUM(F75:F76)</f>
        <v>640110</v>
      </c>
      <c r="G74" s="25">
        <f>SUM(G75:G76)</f>
        <v>664100</v>
      </c>
      <c r="H74" s="25">
        <f>SUM(H75:H76)</f>
        <v>640050</v>
      </c>
      <c r="I74" s="115">
        <f t="shared" si="0"/>
        <v>1.0374779334801831</v>
      </c>
      <c r="J74" s="116">
        <f t="shared" si="2"/>
        <v>0.03902456567321401</v>
      </c>
    </row>
    <row r="75" spans="1:10" ht="12.75">
      <c r="A75" s="13">
        <f t="shared" si="1"/>
        <v>13</v>
      </c>
      <c r="B75" s="54" t="s">
        <v>201</v>
      </c>
      <c r="C75" s="9" t="s">
        <v>73</v>
      </c>
      <c r="D75" s="31">
        <v>562000</v>
      </c>
      <c r="E75" s="31">
        <f>G75-D75</f>
        <v>102000</v>
      </c>
      <c r="F75" s="31">
        <v>640000</v>
      </c>
      <c r="G75" s="31">
        <f>644000+20000</f>
        <v>664000</v>
      </c>
      <c r="H75" s="31">
        <f>520000+120000</f>
        <v>640000</v>
      </c>
      <c r="I75" s="108">
        <f t="shared" si="0"/>
        <v>1.0375</v>
      </c>
      <c r="J75" s="107">
        <f t="shared" si="2"/>
        <v>0.03901868936457477</v>
      </c>
    </row>
    <row r="76" spans="1:10" ht="12.75">
      <c r="A76" s="13">
        <f t="shared" si="1"/>
        <v>14</v>
      </c>
      <c r="B76" s="54" t="s">
        <v>202</v>
      </c>
      <c r="C76" s="9" t="s">
        <v>146</v>
      </c>
      <c r="D76" s="31">
        <v>50</v>
      </c>
      <c r="E76" s="31">
        <f>G76-D76</f>
        <v>50</v>
      </c>
      <c r="F76" s="31">
        <v>110</v>
      </c>
      <c r="G76" s="31">
        <v>100</v>
      </c>
      <c r="H76" s="31">
        <v>50</v>
      </c>
      <c r="I76" s="108">
        <f t="shared" si="0"/>
        <v>0.9090909090909091</v>
      </c>
      <c r="J76" s="107">
        <f t="shared" si="2"/>
        <v>5.876308639243188E-06</v>
      </c>
    </row>
    <row r="77" spans="1:12" s="4" customFormat="1" ht="15">
      <c r="A77" s="13">
        <f t="shared" si="1"/>
        <v>15</v>
      </c>
      <c r="B77" s="16">
        <v>700</v>
      </c>
      <c r="C77" s="17" t="s">
        <v>41</v>
      </c>
      <c r="D77" s="24">
        <f>D78+D107</f>
        <v>4315942</v>
      </c>
      <c r="E77" s="24">
        <f>E78+E107</f>
        <v>889566</v>
      </c>
      <c r="F77" s="24">
        <f>F78+F107</f>
        <v>3597271</v>
      </c>
      <c r="G77" s="24">
        <f>G78+G107</f>
        <v>5174100</v>
      </c>
      <c r="H77" s="24" t="e">
        <f>#REF!+H78+H107</f>
        <v>#REF!</v>
      </c>
      <c r="I77" s="113">
        <f t="shared" si="0"/>
        <v>1.4383403418869471</v>
      </c>
      <c r="J77" s="114">
        <f t="shared" si="2"/>
        <v>0.3040460853030818</v>
      </c>
      <c r="L77" s="84"/>
    </row>
    <row r="78" spans="1:10" s="3" customFormat="1" ht="12.75">
      <c r="A78" s="13">
        <f t="shared" si="1"/>
        <v>16</v>
      </c>
      <c r="B78" s="18">
        <v>70005</v>
      </c>
      <c r="C78" s="19" t="s">
        <v>12</v>
      </c>
      <c r="D78" s="25">
        <f>D80+D87+D90+D92+D93+D95+D101+D102</f>
        <v>4268534</v>
      </c>
      <c r="E78" s="25">
        <f>E80+E87+E90+E92+E93+E95+E101+E102</f>
        <v>889566</v>
      </c>
      <c r="F78" s="25">
        <f>F80+F87+F90+F92+F93+F95+F101+F102</f>
        <v>3581271</v>
      </c>
      <c r="G78" s="25">
        <f>G80+G87+G90+G92+G93+G95+G101+G102</f>
        <v>5158100</v>
      </c>
      <c r="H78" s="25">
        <f>H80+H87+H90+H92+H93+H95+H101+H102</f>
        <v>5798200</v>
      </c>
      <c r="I78" s="115">
        <f t="shared" si="0"/>
        <v>1.440298709592209</v>
      </c>
      <c r="J78" s="116">
        <f t="shared" si="2"/>
        <v>0.30310587592080285</v>
      </c>
    </row>
    <row r="79" spans="1:10" ht="12.75">
      <c r="A79" s="13">
        <f t="shared" si="1"/>
        <v>17</v>
      </c>
      <c r="B79" s="54" t="s">
        <v>203</v>
      </c>
      <c r="C79" s="9" t="s">
        <v>81</v>
      </c>
      <c r="D79" s="31"/>
      <c r="E79" s="31"/>
      <c r="F79" s="31"/>
      <c r="G79" s="31"/>
      <c r="H79" s="31"/>
      <c r="I79" s="108"/>
      <c r="J79" s="107"/>
    </row>
    <row r="80" spans="1:10" ht="12.75">
      <c r="A80" s="13">
        <f t="shared" si="1"/>
        <v>18</v>
      </c>
      <c r="B80" s="54"/>
      <c r="C80" s="9" t="s">
        <v>82</v>
      </c>
      <c r="D80" s="31">
        <f>SUM(D82:D83)</f>
        <v>1761934</v>
      </c>
      <c r="E80" s="31">
        <f>G80-D80</f>
        <v>-646934</v>
      </c>
      <c r="F80" s="31">
        <f>SUM(F82:F83)</f>
        <v>1040000</v>
      </c>
      <c r="G80" s="31">
        <f>SUM(G82:G83)</f>
        <v>1115000</v>
      </c>
      <c r="H80" s="31">
        <f>600000+30000+50000</f>
        <v>680000</v>
      </c>
      <c r="I80" s="108">
        <f t="shared" si="0"/>
        <v>1.0721153846153846</v>
      </c>
      <c r="J80" s="107">
        <f>G80/G$460</f>
        <v>0.06552084132756154</v>
      </c>
    </row>
    <row r="81" spans="1:10" ht="12.75">
      <c r="A81" s="13">
        <f t="shared" si="1"/>
        <v>19</v>
      </c>
      <c r="B81" s="54"/>
      <c r="C81" s="9" t="s">
        <v>11</v>
      </c>
      <c r="D81" s="31"/>
      <c r="E81" s="31"/>
      <c r="F81" s="31"/>
      <c r="G81" s="31"/>
      <c r="H81" s="31"/>
      <c r="I81" s="108"/>
      <c r="J81" s="107"/>
    </row>
    <row r="82" spans="1:10" ht="12.75">
      <c r="A82" s="13">
        <f t="shared" si="1"/>
        <v>20</v>
      </c>
      <c r="B82" s="54"/>
      <c r="C82" s="9" t="s">
        <v>172</v>
      </c>
      <c r="D82" s="31">
        <v>1009434</v>
      </c>
      <c r="E82" s="31"/>
      <c r="F82" s="31">
        <v>980000</v>
      </c>
      <c r="G82" s="31">
        <v>1100000</v>
      </c>
      <c r="H82" s="31"/>
      <c r="I82" s="108">
        <f t="shared" si="0"/>
        <v>1.1224489795918366</v>
      </c>
      <c r="J82" s="107">
        <f>G82/G$460</f>
        <v>0.06463939503167507</v>
      </c>
    </row>
    <row r="83" spans="1:10" ht="12.75">
      <c r="A83" s="13">
        <f t="shared" si="1"/>
        <v>21</v>
      </c>
      <c r="B83" s="54"/>
      <c r="C83" s="55" t="s">
        <v>187</v>
      </c>
      <c r="D83" s="31">
        <v>752500</v>
      </c>
      <c r="E83" s="31"/>
      <c r="F83" s="31">
        <v>60000</v>
      </c>
      <c r="G83" s="31">
        <v>15000</v>
      </c>
      <c r="H83" s="31"/>
      <c r="I83" s="108">
        <f t="shared" si="0"/>
        <v>0.25</v>
      </c>
      <c r="J83" s="107">
        <f>G83/G$460</f>
        <v>0.0008814462958864782</v>
      </c>
    </row>
    <row r="84" spans="1:10" ht="12.75">
      <c r="A84" s="13">
        <f t="shared" si="1"/>
        <v>22</v>
      </c>
      <c r="B84" s="54" t="s">
        <v>204</v>
      </c>
      <c r="C84" s="9" t="s">
        <v>75</v>
      </c>
      <c r="D84" s="31"/>
      <c r="E84" s="31"/>
      <c r="F84" s="31"/>
      <c r="G84" s="31"/>
      <c r="H84" s="31"/>
      <c r="I84" s="108"/>
      <c r="J84" s="107"/>
    </row>
    <row r="85" spans="1:10" ht="12.75">
      <c r="A85" s="13">
        <f t="shared" si="1"/>
        <v>23</v>
      </c>
      <c r="B85" s="54"/>
      <c r="C85" s="55" t="s">
        <v>176</v>
      </c>
      <c r="D85" s="31"/>
      <c r="E85" s="31"/>
      <c r="F85" s="31"/>
      <c r="G85" s="31"/>
      <c r="H85" s="31"/>
      <c r="I85" s="108"/>
      <c r="J85" s="107"/>
    </row>
    <row r="86" spans="1:10" ht="12.75">
      <c r="A86" s="13">
        <f t="shared" si="1"/>
        <v>24</v>
      </c>
      <c r="B86" s="54"/>
      <c r="C86" s="9" t="s">
        <v>177</v>
      </c>
      <c r="D86" s="31"/>
      <c r="E86" s="31"/>
      <c r="F86" s="31"/>
      <c r="G86" s="31"/>
      <c r="H86" s="31"/>
      <c r="I86" s="108"/>
      <c r="J86" s="107"/>
    </row>
    <row r="87" spans="1:10" ht="12.75">
      <c r="A87" s="13">
        <f t="shared" si="1"/>
        <v>25</v>
      </c>
      <c r="B87" s="54"/>
      <c r="C87" s="9" t="s">
        <v>178</v>
      </c>
      <c r="D87" s="31">
        <v>1100000</v>
      </c>
      <c r="E87" s="31">
        <f>G87-D87</f>
        <v>100000</v>
      </c>
      <c r="F87" s="31">
        <f>1250000+29739</f>
        <v>1279739</v>
      </c>
      <c r="G87" s="31">
        <v>1200000</v>
      </c>
      <c r="H87" s="31">
        <v>1015000</v>
      </c>
      <c r="I87" s="108">
        <f t="shared" si="0"/>
        <v>0.9376912010964735</v>
      </c>
      <c r="J87" s="107">
        <f>G87/G$460</f>
        <v>0.07051570367091825</v>
      </c>
    </row>
    <row r="88" spans="1:10" ht="12.75">
      <c r="A88" s="13">
        <f t="shared" si="1"/>
        <v>26</v>
      </c>
      <c r="B88" s="54" t="s">
        <v>205</v>
      </c>
      <c r="C88" s="9" t="s">
        <v>78</v>
      </c>
      <c r="D88" s="31"/>
      <c r="E88" s="31"/>
      <c r="F88" s="31"/>
      <c r="G88" s="31"/>
      <c r="H88" s="31"/>
      <c r="I88" s="108"/>
      <c r="J88" s="107"/>
    </row>
    <row r="89" spans="1:10" ht="12.75">
      <c r="A89" s="13">
        <f t="shared" si="1"/>
        <v>27</v>
      </c>
      <c r="B89" s="54"/>
      <c r="C89" s="9" t="s">
        <v>79</v>
      </c>
      <c r="D89" s="31"/>
      <c r="E89" s="31"/>
      <c r="F89" s="31"/>
      <c r="G89" s="31"/>
      <c r="H89" s="31"/>
      <c r="I89" s="108"/>
      <c r="J89" s="107"/>
    </row>
    <row r="90" spans="1:10" ht="12.75">
      <c r="A90" s="13">
        <f t="shared" si="1"/>
        <v>28</v>
      </c>
      <c r="B90" s="54"/>
      <c r="C90" s="9" t="s">
        <v>80</v>
      </c>
      <c r="D90" s="31">
        <v>84700</v>
      </c>
      <c r="E90" s="31">
        <f>G90-D90</f>
        <v>15300</v>
      </c>
      <c r="F90" s="31">
        <v>116800</v>
      </c>
      <c r="G90" s="31">
        <v>100000</v>
      </c>
      <c r="H90" s="31">
        <v>100000</v>
      </c>
      <c r="I90" s="108">
        <f t="shared" si="0"/>
        <v>0.8561643835616438</v>
      </c>
      <c r="J90" s="107">
        <f>G90/G$460</f>
        <v>0.005876308639243188</v>
      </c>
    </row>
    <row r="91" spans="1:10" ht="12.75">
      <c r="A91" s="13">
        <f t="shared" si="1"/>
        <v>29</v>
      </c>
      <c r="B91" s="54" t="s">
        <v>206</v>
      </c>
      <c r="C91" s="9" t="s">
        <v>105</v>
      </c>
      <c r="D91" s="31"/>
      <c r="E91" s="31"/>
      <c r="F91" s="31"/>
      <c r="G91" s="31"/>
      <c r="H91" s="31"/>
      <c r="I91" s="108"/>
      <c r="J91" s="107"/>
    </row>
    <row r="92" spans="1:10" ht="12.75">
      <c r="A92" s="13">
        <f t="shared" si="1"/>
        <v>30</v>
      </c>
      <c r="B92" s="54"/>
      <c r="C92" s="9" t="s">
        <v>106</v>
      </c>
      <c r="D92" s="31">
        <v>0</v>
      </c>
      <c r="E92" s="31">
        <f aca="true" t="shared" si="3" ref="E92:E101">G92-D92</f>
        <v>0</v>
      </c>
      <c r="F92" s="31">
        <v>0</v>
      </c>
      <c r="G92" s="31">
        <v>0</v>
      </c>
      <c r="H92" s="31">
        <v>0</v>
      </c>
      <c r="I92" s="108"/>
      <c r="J92" s="107">
        <f>G92/G$460</f>
        <v>0</v>
      </c>
    </row>
    <row r="93" spans="1:10" ht="12.75">
      <c r="A93" s="13">
        <f t="shared" si="1"/>
        <v>31</v>
      </c>
      <c r="B93" s="54" t="s">
        <v>207</v>
      </c>
      <c r="C93" s="9" t="s">
        <v>13</v>
      </c>
      <c r="D93" s="31">
        <v>110000</v>
      </c>
      <c r="E93" s="31">
        <f t="shared" si="3"/>
        <v>55000</v>
      </c>
      <c r="F93" s="31">
        <v>150000</v>
      </c>
      <c r="G93" s="31">
        <v>165000</v>
      </c>
      <c r="H93" s="31">
        <v>39000</v>
      </c>
      <c r="I93" s="108">
        <f t="shared" si="0"/>
        <v>1.1</v>
      </c>
      <c r="J93" s="107">
        <f>G93/G$460</f>
        <v>0.00969590925475126</v>
      </c>
    </row>
    <row r="94" spans="1:10" ht="12.75">
      <c r="A94" s="13">
        <f t="shared" si="1"/>
        <v>32</v>
      </c>
      <c r="B94" s="54" t="s">
        <v>208</v>
      </c>
      <c r="C94" s="9" t="s">
        <v>180</v>
      </c>
      <c r="D94" s="31"/>
      <c r="E94" s="31"/>
      <c r="F94" s="31"/>
      <c r="G94" s="31"/>
      <c r="H94" s="31"/>
      <c r="I94" s="108"/>
      <c r="J94" s="107"/>
    </row>
    <row r="95" spans="1:10" ht="12.75">
      <c r="A95" s="13">
        <f t="shared" si="1"/>
        <v>33</v>
      </c>
      <c r="B95" s="54"/>
      <c r="C95" s="9" t="s">
        <v>179</v>
      </c>
      <c r="D95" s="31">
        <f>SUM(D97:D100)</f>
        <v>1170500</v>
      </c>
      <c r="E95" s="31">
        <f>SUM(E97:E100)</f>
        <v>1382600</v>
      </c>
      <c r="F95" s="31">
        <f>SUM(F97:F100)</f>
        <v>955732</v>
      </c>
      <c r="G95" s="31">
        <f>SUM(G97:G100)</f>
        <v>2553100</v>
      </c>
      <c r="H95" s="31">
        <f>SUM(H97:H100)</f>
        <v>3929000</v>
      </c>
      <c r="I95" s="108">
        <f t="shared" si="0"/>
        <v>2.671355568297389</v>
      </c>
      <c r="J95" s="107">
        <f>G95/G$460</f>
        <v>0.15002803586851782</v>
      </c>
    </row>
    <row r="96" spans="1:10" ht="12.75">
      <c r="A96" s="13">
        <f t="shared" si="1"/>
        <v>34</v>
      </c>
      <c r="B96" s="54"/>
      <c r="C96" s="9" t="s">
        <v>11</v>
      </c>
      <c r="D96" s="31"/>
      <c r="E96" s="31"/>
      <c r="F96" s="31"/>
      <c r="G96" s="31"/>
      <c r="H96" s="31"/>
      <c r="I96" s="108"/>
      <c r="J96" s="107"/>
    </row>
    <row r="97" spans="1:10" ht="12.75">
      <c r="A97" s="13">
        <f t="shared" si="1"/>
        <v>35</v>
      </c>
      <c r="B97" s="54"/>
      <c r="C97" s="9" t="s">
        <v>14</v>
      </c>
      <c r="D97" s="31">
        <v>688000</v>
      </c>
      <c r="E97" s="31">
        <f t="shared" si="3"/>
        <v>1209400</v>
      </c>
      <c r="F97" s="31">
        <v>640000</v>
      </c>
      <c r="G97" s="31">
        <f>1837400+60000</f>
        <v>1897400</v>
      </c>
      <c r="H97" s="31">
        <f>960000-474000+550000-32000+28000+172000+496000+90000+245000+223000+1000000</f>
        <v>3258000</v>
      </c>
      <c r="I97" s="108">
        <f t="shared" si="0"/>
        <v>2.9646875</v>
      </c>
      <c r="J97" s="107">
        <f>G97/G$460</f>
        <v>0.11149708012100025</v>
      </c>
    </row>
    <row r="98" spans="1:10" ht="12.75">
      <c r="A98" s="13">
        <f t="shared" si="1"/>
        <v>36</v>
      </c>
      <c r="B98" s="54"/>
      <c r="C98" s="9" t="s">
        <v>15</v>
      </c>
      <c r="D98" s="31">
        <v>107500</v>
      </c>
      <c r="E98" s="31">
        <f t="shared" si="3"/>
        <v>7500</v>
      </c>
      <c r="F98" s="31">
        <v>315000</v>
      </c>
      <c r="G98" s="31">
        <v>115000</v>
      </c>
      <c r="H98" s="31">
        <v>85000</v>
      </c>
      <c r="I98" s="108">
        <f t="shared" si="0"/>
        <v>0.36507936507936506</v>
      </c>
      <c r="J98" s="107">
        <f>G98/G$460</f>
        <v>0.006757754935129666</v>
      </c>
    </row>
    <row r="99" spans="1:10" ht="12.75">
      <c r="A99" s="13">
        <f t="shared" si="1"/>
        <v>37</v>
      </c>
      <c r="B99" s="54"/>
      <c r="C99" s="9" t="s">
        <v>16</v>
      </c>
      <c r="D99" s="31">
        <v>0</v>
      </c>
      <c r="E99" s="31">
        <f t="shared" si="3"/>
        <v>0</v>
      </c>
      <c r="F99" s="31">
        <v>0</v>
      </c>
      <c r="G99" s="31">
        <v>0</v>
      </c>
      <c r="H99" s="31">
        <v>80000</v>
      </c>
      <c r="I99" s="108"/>
      <c r="J99" s="107"/>
    </row>
    <row r="100" spans="1:10" ht="12.75">
      <c r="A100" s="13">
        <f t="shared" si="1"/>
        <v>38</v>
      </c>
      <c r="B100" s="54"/>
      <c r="C100" s="9" t="s">
        <v>107</v>
      </c>
      <c r="D100" s="31">
        <v>375000</v>
      </c>
      <c r="E100" s="31">
        <f t="shared" si="3"/>
        <v>165700</v>
      </c>
      <c r="F100" s="31">
        <v>732</v>
      </c>
      <c r="G100" s="31">
        <v>540700</v>
      </c>
      <c r="H100" s="31">
        <f>474000+32000</f>
        <v>506000</v>
      </c>
      <c r="I100" s="108"/>
      <c r="J100" s="107">
        <f>G100/G$460</f>
        <v>0.031773200812387915</v>
      </c>
    </row>
    <row r="101" spans="1:10" ht="12.75">
      <c r="A101" s="13">
        <f t="shared" si="1"/>
        <v>39</v>
      </c>
      <c r="B101" s="54" t="s">
        <v>209</v>
      </c>
      <c r="C101" s="9" t="s">
        <v>90</v>
      </c>
      <c r="D101" s="31">
        <v>41000</v>
      </c>
      <c r="E101" s="31">
        <f t="shared" si="3"/>
        <v>-17000</v>
      </c>
      <c r="F101" s="31">
        <v>24000</v>
      </c>
      <c r="G101" s="31">
        <v>24000</v>
      </c>
      <c r="H101" s="31">
        <v>35000</v>
      </c>
      <c r="I101" s="108">
        <f t="shared" si="0"/>
        <v>1</v>
      </c>
      <c r="J101" s="107">
        <f>G101/G$460</f>
        <v>0.001410314073418365</v>
      </c>
    </row>
    <row r="102" spans="1:10" ht="12.75">
      <c r="A102" s="13">
        <f t="shared" si="1"/>
        <v>40</v>
      </c>
      <c r="B102" s="54" t="s">
        <v>200</v>
      </c>
      <c r="C102" s="9" t="s">
        <v>83</v>
      </c>
      <c r="D102" s="31">
        <f>D104</f>
        <v>400</v>
      </c>
      <c r="E102" s="31">
        <f>E104</f>
        <v>600</v>
      </c>
      <c r="F102" s="31">
        <f>F104</f>
        <v>15000</v>
      </c>
      <c r="G102" s="31">
        <f>G104</f>
        <v>1000</v>
      </c>
      <c r="H102" s="31">
        <f>H104</f>
        <v>200</v>
      </c>
      <c r="I102" s="108">
        <f t="shared" si="0"/>
        <v>0.06666666666666667</v>
      </c>
      <c r="J102" s="107">
        <f>G102/G$460</f>
        <v>5.876308639243188E-05</v>
      </c>
    </row>
    <row r="103" spans="1:10" ht="12.75">
      <c r="A103" s="13">
        <f t="shared" si="1"/>
        <v>41</v>
      </c>
      <c r="B103" s="54"/>
      <c r="C103" s="9" t="s">
        <v>11</v>
      </c>
      <c r="D103" s="31"/>
      <c r="E103" s="31"/>
      <c r="F103" s="31"/>
      <c r="G103" s="31"/>
      <c r="H103" s="31"/>
      <c r="I103" s="108"/>
      <c r="J103" s="107"/>
    </row>
    <row r="104" spans="1:10" ht="12.75">
      <c r="A104" s="13">
        <f t="shared" si="1"/>
        <v>42</v>
      </c>
      <c r="B104" s="54"/>
      <c r="C104" s="9" t="s">
        <v>88</v>
      </c>
      <c r="D104" s="31">
        <v>400</v>
      </c>
      <c r="E104" s="31">
        <f>G104-D104</f>
        <v>600</v>
      </c>
      <c r="F104" s="31">
        <v>15000</v>
      </c>
      <c r="G104" s="31">
        <v>1000</v>
      </c>
      <c r="H104" s="31">
        <v>200</v>
      </c>
      <c r="I104" s="108">
        <f t="shared" si="0"/>
        <v>0.06666666666666667</v>
      </c>
      <c r="J104" s="107">
        <f>G104/G$460</f>
        <v>5.876308639243188E-05</v>
      </c>
    </row>
    <row r="105" spans="1:10" ht="12.75">
      <c r="A105" s="13">
        <f t="shared" si="1"/>
        <v>43</v>
      </c>
      <c r="B105" s="54"/>
      <c r="C105" s="9"/>
      <c r="D105" s="31"/>
      <c r="E105" s="31"/>
      <c r="F105" s="31"/>
      <c r="G105" s="31"/>
      <c r="H105" s="31"/>
      <c r="I105" s="108"/>
      <c r="J105" s="107"/>
    </row>
    <row r="106" spans="1:10" ht="12.75">
      <c r="A106" s="13">
        <f t="shared" si="1"/>
        <v>44</v>
      </c>
      <c r="B106" s="54"/>
      <c r="C106" s="9"/>
      <c r="D106" s="31"/>
      <c r="E106" s="31"/>
      <c r="F106" s="31"/>
      <c r="G106" s="31"/>
      <c r="H106" s="31"/>
      <c r="I106" s="108"/>
      <c r="J106" s="107"/>
    </row>
    <row r="107" spans="1:10" s="52" customFormat="1" ht="12.75">
      <c r="A107" s="13">
        <f t="shared" si="1"/>
        <v>45</v>
      </c>
      <c r="B107" s="53">
        <v>70021</v>
      </c>
      <c r="C107" s="65" t="s">
        <v>151</v>
      </c>
      <c r="D107" s="51">
        <f>SUM(D108:D110)</f>
        <v>47408</v>
      </c>
      <c r="E107" s="51"/>
      <c r="F107" s="51">
        <f>SUM(F108:F110)</f>
        <v>16000</v>
      </c>
      <c r="G107" s="51">
        <f>SUM(G108:G110)</f>
        <v>16000</v>
      </c>
      <c r="H107" s="51">
        <f>H110</f>
        <v>98672</v>
      </c>
      <c r="I107" s="115">
        <f t="shared" si="0"/>
        <v>1</v>
      </c>
      <c r="J107" s="116">
        <f>G107/G$460</f>
        <v>0.00094020938227891</v>
      </c>
    </row>
    <row r="108" spans="1:10" s="63" customFormat="1" ht="12.75">
      <c r="A108" s="13">
        <f t="shared" si="1"/>
        <v>46</v>
      </c>
      <c r="B108" s="57" t="s">
        <v>209</v>
      </c>
      <c r="C108" s="55" t="s">
        <v>90</v>
      </c>
      <c r="D108" s="62">
        <v>17228</v>
      </c>
      <c r="E108" s="62"/>
      <c r="F108" s="62">
        <v>5000</v>
      </c>
      <c r="G108" s="62">
        <v>5000</v>
      </c>
      <c r="H108" s="62"/>
      <c r="I108" s="108">
        <f t="shared" si="0"/>
        <v>1</v>
      </c>
      <c r="J108" s="107">
        <f>G108/G$460</f>
        <v>0.0002938154319621594</v>
      </c>
    </row>
    <row r="109" spans="1:10" ht="12.75">
      <c r="A109" s="13">
        <f t="shared" si="1"/>
        <v>47</v>
      </c>
      <c r="B109" s="57" t="s">
        <v>200</v>
      </c>
      <c r="C109" s="55" t="s">
        <v>72</v>
      </c>
      <c r="D109" s="31"/>
      <c r="E109" s="31"/>
      <c r="F109" s="31"/>
      <c r="G109" s="31"/>
      <c r="H109" s="31"/>
      <c r="I109" s="108"/>
      <c r="J109" s="107"/>
    </row>
    <row r="110" spans="1:10" ht="12.75">
      <c r="A110" s="13">
        <f t="shared" si="1"/>
        <v>48</v>
      </c>
      <c r="B110" s="76"/>
      <c r="C110" s="87" t="s">
        <v>158</v>
      </c>
      <c r="D110" s="31">
        <v>30180</v>
      </c>
      <c r="E110" s="31"/>
      <c r="F110" s="31">
        <v>11000</v>
      </c>
      <c r="G110" s="31">
        <v>11000</v>
      </c>
      <c r="H110" s="31">
        <f>13332+9083+32724+35748+7785</f>
        <v>98672</v>
      </c>
      <c r="I110" s="108">
        <f t="shared" si="0"/>
        <v>1</v>
      </c>
      <c r="J110" s="107">
        <f aca="true" t="shared" si="4" ref="J110:J117">G110/G$460</f>
        <v>0.0006463939503167506</v>
      </c>
    </row>
    <row r="111" spans="1:10" s="48" customFormat="1" ht="15">
      <c r="A111" s="13">
        <f t="shared" si="1"/>
        <v>49</v>
      </c>
      <c r="B111" s="49">
        <v>710</v>
      </c>
      <c r="C111" s="46" t="s">
        <v>131</v>
      </c>
      <c r="D111" s="47">
        <f>D114+D112</f>
        <v>10100</v>
      </c>
      <c r="E111" s="47">
        <f>E114+E112</f>
        <v>0</v>
      </c>
      <c r="F111" s="47">
        <f>F114+F112</f>
        <v>10550</v>
      </c>
      <c r="G111" s="47">
        <f>G114+G112</f>
        <v>8800</v>
      </c>
      <c r="H111" s="47">
        <f>H114</f>
        <v>8800</v>
      </c>
      <c r="I111" s="113">
        <f t="shared" si="0"/>
        <v>0.8341232227488151</v>
      </c>
      <c r="J111" s="114">
        <f t="shared" si="4"/>
        <v>0.0005171151602534006</v>
      </c>
    </row>
    <row r="112" spans="1:10" s="52" customFormat="1" ht="12.75">
      <c r="A112" s="13">
        <f t="shared" si="1"/>
        <v>50</v>
      </c>
      <c r="B112" s="53">
        <v>71014</v>
      </c>
      <c r="C112" s="50" t="s">
        <v>160</v>
      </c>
      <c r="D112" s="51">
        <f>SUM(D113)</f>
        <v>1300</v>
      </c>
      <c r="E112" s="51">
        <f>SUM(E113)</f>
        <v>0</v>
      </c>
      <c r="F112" s="51">
        <f>SUM(F113)</f>
        <v>1750</v>
      </c>
      <c r="G112" s="51">
        <f>SUM(G113)</f>
        <v>0</v>
      </c>
      <c r="H112" s="51"/>
      <c r="I112" s="115">
        <f t="shared" si="0"/>
        <v>0</v>
      </c>
      <c r="J112" s="116">
        <f t="shared" si="4"/>
        <v>0</v>
      </c>
    </row>
    <row r="113" spans="1:10" s="63" customFormat="1" ht="12.75">
      <c r="A113" s="13">
        <f t="shared" si="1"/>
        <v>51</v>
      </c>
      <c r="B113" s="57" t="s">
        <v>200</v>
      </c>
      <c r="C113" s="55" t="s">
        <v>72</v>
      </c>
      <c r="D113" s="62">
        <v>1300</v>
      </c>
      <c r="E113" s="62"/>
      <c r="F113" s="62">
        <v>1750</v>
      </c>
      <c r="G113" s="62">
        <v>0</v>
      </c>
      <c r="H113" s="62"/>
      <c r="I113" s="108">
        <f t="shared" si="0"/>
        <v>0</v>
      </c>
      <c r="J113" s="107">
        <f t="shared" si="4"/>
        <v>0</v>
      </c>
    </row>
    <row r="114" spans="1:10" s="52" customFormat="1" ht="12.75">
      <c r="A114" s="13">
        <f t="shared" si="1"/>
        <v>52</v>
      </c>
      <c r="B114" s="53">
        <v>71035</v>
      </c>
      <c r="C114" s="50" t="s">
        <v>132</v>
      </c>
      <c r="D114" s="51">
        <f>D115</f>
        <v>8800</v>
      </c>
      <c r="E114" s="51">
        <f>E115</f>
        <v>0</v>
      </c>
      <c r="F114" s="51">
        <f>F115</f>
        <v>8800</v>
      </c>
      <c r="G114" s="51">
        <f>G115</f>
        <v>8800</v>
      </c>
      <c r="H114" s="51">
        <f>H115</f>
        <v>8800</v>
      </c>
      <c r="I114" s="115">
        <f t="shared" si="0"/>
        <v>1</v>
      </c>
      <c r="J114" s="116">
        <f t="shared" si="4"/>
        <v>0.0005171151602534006</v>
      </c>
    </row>
    <row r="115" spans="1:10" ht="12.75">
      <c r="A115" s="13">
        <f t="shared" si="1"/>
        <v>53</v>
      </c>
      <c r="B115" s="54" t="s">
        <v>196</v>
      </c>
      <c r="C115" s="9" t="s">
        <v>97</v>
      </c>
      <c r="D115" s="31">
        <v>8800</v>
      </c>
      <c r="E115" s="31">
        <f>G115-D115</f>
        <v>0</v>
      </c>
      <c r="F115" s="31">
        <v>8800</v>
      </c>
      <c r="G115" s="31">
        <v>8800</v>
      </c>
      <c r="H115" s="31">
        <v>8800</v>
      </c>
      <c r="I115" s="108">
        <f t="shared" si="0"/>
        <v>1</v>
      </c>
      <c r="J115" s="107">
        <f t="shared" si="4"/>
        <v>0.0005171151602534006</v>
      </c>
    </row>
    <row r="116" spans="1:10" s="48" customFormat="1" ht="15">
      <c r="A116" s="13">
        <f t="shared" si="1"/>
        <v>54</v>
      </c>
      <c r="B116" s="49">
        <v>750</v>
      </c>
      <c r="C116" s="46" t="s">
        <v>85</v>
      </c>
      <c r="D116" s="47">
        <f>D117+D122+D135</f>
        <v>134700</v>
      </c>
      <c r="E116" s="47" t="e">
        <f>E117+E122+#REF!+E135</f>
        <v>#REF!</v>
      </c>
      <c r="F116" s="47">
        <f>F117+F122+F135</f>
        <v>163900</v>
      </c>
      <c r="G116" s="47">
        <f>G117+G122+G135</f>
        <v>125100</v>
      </c>
      <c r="H116" s="47" t="e">
        <f>H117+H122+H135</f>
        <v>#REF!</v>
      </c>
      <c r="I116" s="115">
        <f>G116/F116</f>
        <v>0.7632702867602197</v>
      </c>
      <c r="J116" s="116">
        <f t="shared" si="4"/>
        <v>0.007351262107693228</v>
      </c>
    </row>
    <row r="117" spans="1:10" s="3" customFormat="1" ht="12.75">
      <c r="A117" s="13">
        <f t="shared" si="1"/>
        <v>55</v>
      </c>
      <c r="B117" s="18">
        <v>75011</v>
      </c>
      <c r="C117" s="19" t="s">
        <v>32</v>
      </c>
      <c r="D117" s="25">
        <f>D121</f>
        <v>64000</v>
      </c>
      <c r="E117" s="25">
        <f>E121</f>
        <v>2000</v>
      </c>
      <c r="F117" s="25">
        <f>F121</f>
        <v>64000</v>
      </c>
      <c r="G117" s="25">
        <f>G121</f>
        <v>66000</v>
      </c>
      <c r="H117" s="25">
        <f>H121</f>
        <v>62000</v>
      </c>
      <c r="I117" s="115">
        <f t="shared" si="0"/>
        <v>1.03125</v>
      </c>
      <c r="J117" s="116">
        <f t="shared" si="4"/>
        <v>0.003878363701900504</v>
      </c>
    </row>
    <row r="118" spans="1:10" s="3" customFormat="1" ht="12.75">
      <c r="A118" s="13">
        <f t="shared" si="1"/>
        <v>56</v>
      </c>
      <c r="B118" s="54">
        <v>2010</v>
      </c>
      <c r="C118" s="9" t="s">
        <v>102</v>
      </c>
      <c r="D118" s="25"/>
      <c r="E118" s="25"/>
      <c r="F118" s="25"/>
      <c r="G118" s="25"/>
      <c r="H118" s="25"/>
      <c r="I118" s="108"/>
      <c r="J118" s="107"/>
    </row>
    <row r="119" spans="1:10" s="3" customFormat="1" ht="12.75">
      <c r="A119" s="13">
        <f t="shared" si="1"/>
        <v>57</v>
      </c>
      <c r="B119" s="54"/>
      <c r="C119" s="9" t="s">
        <v>228</v>
      </c>
      <c r="D119" s="25"/>
      <c r="E119" s="25"/>
      <c r="F119" s="25"/>
      <c r="G119" s="25"/>
      <c r="H119" s="25"/>
      <c r="I119" s="108"/>
      <c r="J119" s="107"/>
    </row>
    <row r="120" spans="1:10" s="3" customFormat="1" ht="12.75">
      <c r="A120" s="13">
        <f t="shared" si="1"/>
        <v>58</v>
      </c>
      <c r="B120" s="54"/>
      <c r="C120" s="9" t="s">
        <v>115</v>
      </c>
      <c r="D120" s="25"/>
      <c r="E120" s="25"/>
      <c r="F120" s="25"/>
      <c r="G120" s="25"/>
      <c r="H120" s="25"/>
      <c r="I120" s="108"/>
      <c r="J120" s="107"/>
    </row>
    <row r="121" spans="1:10" s="3" customFormat="1" ht="12.75">
      <c r="A121" s="13">
        <f t="shared" si="1"/>
        <v>59</v>
      </c>
      <c r="B121" s="54"/>
      <c r="C121" s="9" t="s">
        <v>104</v>
      </c>
      <c r="D121" s="62">
        <v>64000</v>
      </c>
      <c r="E121" s="31">
        <f>G121-D121</f>
        <v>2000</v>
      </c>
      <c r="F121" s="31">
        <v>64000</v>
      </c>
      <c r="G121" s="62">
        <v>66000</v>
      </c>
      <c r="H121" s="62">
        <v>62000</v>
      </c>
      <c r="I121" s="108">
        <f t="shared" si="0"/>
        <v>1.03125</v>
      </c>
      <c r="J121" s="107">
        <f>G121/G$460</f>
        <v>0.003878363701900504</v>
      </c>
    </row>
    <row r="122" spans="1:10" s="3" customFormat="1" ht="12.75">
      <c r="A122" s="13">
        <f t="shared" si="1"/>
        <v>60</v>
      </c>
      <c r="B122" s="18">
        <v>75023</v>
      </c>
      <c r="C122" s="19" t="s">
        <v>58</v>
      </c>
      <c r="D122" s="25">
        <f>D124+D125+D128</f>
        <v>29200</v>
      </c>
      <c r="E122" s="25">
        <f>E124+E125+E128</f>
        <v>-1100</v>
      </c>
      <c r="F122" s="25">
        <f>F124+F125+F128</f>
        <v>39700</v>
      </c>
      <c r="G122" s="25">
        <f>G124+G125+G128</f>
        <v>38100</v>
      </c>
      <c r="H122" s="25">
        <f>H124+H125+H128</f>
        <v>39910</v>
      </c>
      <c r="I122" s="115">
        <f t="shared" si="0"/>
        <v>0.9596977329974811</v>
      </c>
      <c r="J122" s="116">
        <f>G122/G$460</f>
        <v>0.0022388735915516546</v>
      </c>
    </row>
    <row r="123" spans="1:10" ht="12.75">
      <c r="A123" s="13">
        <f t="shared" si="1"/>
        <v>61</v>
      </c>
      <c r="B123" s="54" t="s">
        <v>210</v>
      </c>
      <c r="C123" s="9" t="s">
        <v>86</v>
      </c>
      <c r="D123" s="31"/>
      <c r="E123" s="31"/>
      <c r="F123" s="31"/>
      <c r="G123" s="31"/>
      <c r="H123" s="31"/>
      <c r="I123" s="108"/>
      <c r="J123" s="107"/>
    </row>
    <row r="124" spans="1:10" ht="12.75">
      <c r="A124" s="13">
        <f t="shared" si="1"/>
        <v>62</v>
      </c>
      <c r="B124" s="54"/>
      <c r="C124" s="9" t="s">
        <v>173</v>
      </c>
      <c r="D124" s="31">
        <v>17500</v>
      </c>
      <c r="E124" s="31">
        <f>G124-D124</f>
        <v>7500</v>
      </c>
      <c r="F124" s="31">
        <v>25000</v>
      </c>
      <c r="G124" s="31">
        <v>25000</v>
      </c>
      <c r="H124" s="31">
        <v>32600</v>
      </c>
      <c r="I124" s="108">
        <f t="shared" si="0"/>
        <v>1</v>
      </c>
      <c r="J124" s="107">
        <f>G124/G$460</f>
        <v>0.001469077159810797</v>
      </c>
    </row>
    <row r="125" spans="1:10" ht="12.75">
      <c r="A125" s="13">
        <f t="shared" si="1"/>
        <v>63</v>
      </c>
      <c r="B125" s="54" t="s">
        <v>207</v>
      </c>
      <c r="C125" s="9" t="s">
        <v>13</v>
      </c>
      <c r="D125" s="31">
        <f>D127</f>
        <v>400</v>
      </c>
      <c r="E125" s="31">
        <f>E127</f>
        <v>0</v>
      </c>
      <c r="F125" s="31">
        <f>F127</f>
        <v>400</v>
      </c>
      <c r="G125" s="31">
        <f>G127</f>
        <v>400</v>
      </c>
      <c r="H125" s="31">
        <f>H127</f>
        <v>400</v>
      </c>
      <c r="I125" s="108">
        <f t="shared" si="0"/>
        <v>1</v>
      </c>
      <c r="J125" s="107">
        <f>G125/G$460</f>
        <v>2.350523455697275E-05</v>
      </c>
    </row>
    <row r="126" spans="1:10" ht="12.75">
      <c r="A126" s="13">
        <f t="shared" si="1"/>
        <v>64</v>
      </c>
      <c r="B126" s="54"/>
      <c r="C126" s="9" t="s">
        <v>11</v>
      </c>
      <c r="D126" s="31"/>
      <c r="E126" s="31"/>
      <c r="F126" s="31"/>
      <c r="G126" s="31"/>
      <c r="H126" s="31"/>
      <c r="I126" s="108"/>
      <c r="J126" s="107"/>
    </row>
    <row r="127" spans="1:10" ht="12.75">
      <c r="A127" s="13">
        <f t="shared" si="1"/>
        <v>65</v>
      </c>
      <c r="B127" s="54"/>
      <c r="C127" s="9" t="s">
        <v>33</v>
      </c>
      <c r="D127" s="31">
        <v>400</v>
      </c>
      <c r="E127" s="31">
        <f>G127-D127</f>
        <v>0</v>
      </c>
      <c r="F127" s="31">
        <v>400</v>
      </c>
      <c r="G127" s="31">
        <v>400</v>
      </c>
      <c r="H127" s="31">
        <v>400</v>
      </c>
      <c r="I127" s="108">
        <f>G127/F127</f>
        <v>1</v>
      </c>
      <c r="J127" s="107">
        <f>G127/G$460</f>
        <v>2.350523455697275E-05</v>
      </c>
    </row>
    <row r="128" spans="1:10" ht="12.75">
      <c r="A128" s="13">
        <f t="shared" si="1"/>
        <v>66</v>
      </c>
      <c r="B128" s="54" t="s">
        <v>200</v>
      </c>
      <c r="C128" s="9" t="s">
        <v>72</v>
      </c>
      <c r="D128" s="31">
        <f>SUM(D130:D134)</f>
        <v>11300</v>
      </c>
      <c r="E128" s="31">
        <f>SUM(E130:E133)</f>
        <v>-8600</v>
      </c>
      <c r="F128" s="31">
        <f>SUM(F130:F134)</f>
        <v>14300</v>
      </c>
      <c r="G128" s="31">
        <f>SUM(G130:G134)</f>
        <v>12700</v>
      </c>
      <c r="H128" s="31">
        <f>SUM(H130:H133)</f>
        <v>6910</v>
      </c>
      <c r="I128" s="108">
        <f>G128/F128</f>
        <v>0.8881118881118881</v>
      </c>
      <c r="J128" s="107">
        <f>G128/G$460</f>
        <v>0.0007462911971838848</v>
      </c>
    </row>
    <row r="129" spans="1:10" ht="12.75">
      <c r="A129" s="13">
        <f t="shared" si="1"/>
        <v>67</v>
      </c>
      <c r="B129" s="54"/>
      <c r="C129" s="9" t="s">
        <v>11</v>
      </c>
      <c r="D129" s="31"/>
      <c r="E129" s="31"/>
      <c r="F129" s="31"/>
      <c r="G129" s="31"/>
      <c r="H129" s="31"/>
      <c r="I129" s="108"/>
      <c r="J129" s="107"/>
    </row>
    <row r="130" spans="1:10" ht="12.75">
      <c r="A130" s="13">
        <f t="shared" si="1"/>
        <v>68</v>
      </c>
      <c r="B130" s="54"/>
      <c r="C130" s="9" t="s">
        <v>87</v>
      </c>
      <c r="D130" s="31">
        <v>700</v>
      </c>
      <c r="E130" s="31">
        <f>G130-D130</f>
        <v>0</v>
      </c>
      <c r="F130" s="31">
        <v>700</v>
      </c>
      <c r="G130" s="31">
        <v>700</v>
      </c>
      <c r="H130" s="31">
        <v>710</v>
      </c>
      <c r="I130" s="108">
        <f aca="true" t="shared" si="5" ref="I130:I136">G130/F130</f>
        <v>1</v>
      </c>
      <c r="J130" s="107">
        <f>G130/G$460</f>
        <v>4.1134160474702316E-05</v>
      </c>
    </row>
    <row r="131" spans="1:10" ht="12.75">
      <c r="A131" s="13">
        <f t="shared" si="1"/>
        <v>69</v>
      </c>
      <c r="B131" s="54"/>
      <c r="C131" s="9" t="s">
        <v>88</v>
      </c>
      <c r="D131" s="31">
        <v>1000</v>
      </c>
      <c r="E131" s="31">
        <f>G131-D131</f>
        <v>-1000</v>
      </c>
      <c r="F131" s="31">
        <v>2500</v>
      </c>
      <c r="G131" s="31">
        <v>0</v>
      </c>
      <c r="H131" s="31">
        <v>1000</v>
      </c>
      <c r="I131" s="108">
        <f t="shared" si="5"/>
        <v>0</v>
      </c>
      <c r="J131" s="107">
        <f>G131/G$460</f>
        <v>0</v>
      </c>
    </row>
    <row r="132" spans="1:10" ht="12.75">
      <c r="A132" s="13">
        <f aca="true" t="shared" si="6" ref="A132:A195">A131+1</f>
        <v>70</v>
      </c>
      <c r="B132" s="54"/>
      <c r="C132" s="9" t="s">
        <v>133</v>
      </c>
      <c r="D132" s="31">
        <v>7600</v>
      </c>
      <c r="E132" s="31">
        <f>G132-D132</f>
        <v>-7600</v>
      </c>
      <c r="F132" s="31">
        <v>2000</v>
      </c>
      <c r="G132" s="31">
        <v>0</v>
      </c>
      <c r="H132" s="31">
        <v>4200</v>
      </c>
      <c r="I132" s="108">
        <f t="shared" si="5"/>
        <v>0</v>
      </c>
      <c r="J132" s="107">
        <f>G132/G$460</f>
        <v>0</v>
      </c>
    </row>
    <row r="133" spans="1:10" ht="12.75">
      <c r="A133" s="13">
        <f t="shared" si="6"/>
        <v>71</v>
      </c>
      <c r="B133" s="54"/>
      <c r="C133" s="9" t="s">
        <v>134</v>
      </c>
      <c r="D133" s="31">
        <v>2000</v>
      </c>
      <c r="E133" s="31">
        <f>G133-D133</f>
        <v>0</v>
      </c>
      <c r="F133" s="31">
        <v>2000</v>
      </c>
      <c r="G133" s="31">
        <v>2000</v>
      </c>
      <c r="H133" s="31">
        <v>1000</v>
      </c>
      <c r="I133" s="108">
        <f t="shared" si="5"/>
        <v>1</v>
      </c>
      <c r="J133" s="107">
        <f>G133/G$460</f>
        <v>0.00011752617278486375</v>
      </c>
    </row>
    <row r="134" spans="1:10" ht="12.75">
      <c r="A134" s="13">
        <f t="shared" si="6"/>
        <v>72</v>
      </c>
      <c r="B134" s="54"/>
      <c r="C134" s="9" t="s">
        <v>169</v>
      </c>
      <c r="D134" s="31">
        <v>0</v>
      </c>
      <c r="E134" s="31"/>
      <c r="F134" s="31">
        <v>7100</v>
      </c>
      <c r="G134" s="31">
        <v>10000</v>
      </c>
      <c r="H134" s="31"/>
      <c r="I134" s="108">
        <f t="shared" si="5"/>
        <v>1.408450704225352</v>
      </c>
      <c r="J134" s="107"/>
    </row>
    <row r="135" spans="1:10" s="3" customFormat="1" ht="12.75">
      <c r="A135" s="13">
        <f t="shared" si="6"/>
        <v>73</v>
      </c>
      <c r="B135" s="18">
        <v>75095</v>
      </c>
      <c r="C135" s="19" t="s">
        <v>9</v>
      </c>
      <c r="D135" s="25">
        <f>D136+D141+D143+D144+D139</f>
        <v>41500</v>
      </c>
      <c r="E135" s="25" t="e">
        <f>#REF!+E136+E141+E143</f>
        <v>#REF!</v>
      </c>
      <c r="F135" s="25">
        <f>F136+F141+F143+F144+F139</f>
        <v>60200</v>
      </c>
      <c r="G135" s="25">
        <f>G136+G141+G143+G144+G139</f>
        <v>21000</v>
      </c>
      <c r="H135" s="25" t="e">
        <f>#REF!+H136+H141+H143</f>
        <v>#REF!</v>
      </c>
      <c r="I135" s="115">
        <f t="shared" si="5"/>
        <v>0.3488372093023256</v>
      </c>
      <c r="J135" s="116">
        <f>G135/G$460</f>
        <v>0.0012340248142410695</v>
      </c>
    </row>
    <row r="136" spans="1:10" s="6" customFormat="1" ht="12.75">
      <c r="A136" s="13">
        <f t="shared" si="6"/>
        <v>74</v>
      </c>
      <c r="B136" s="23" t="s">
        <v>196</v>
      </c>
      <c r="C136" s="13" t="s">
        <v>77</v>
      </c>
      <c r="D136" s="39">
        <f>SUM(D138:D138)</f>
        <v>4330</v>
      </c>
      <c r="E136" s="39">
        <f>SUM(E138:E138)</f>
        <v>-4330</v>
      </c>
      <c r="F136" s="39">
        <f>SUM(F138:F138)</f>
        <v>4100</v>
      </c>
      <c r="G136" s="39">
        <f>SUM(G138:G138)</f>
        <v>0</v>
      </c>
      <c r="H136" s="39">
        <f>SUM(H138:H138)</f>
        <v>0</v>
      </c>
      <c r="I136" s="108">
        <f t="shared" si="5"/>
        <v>0</v>
      </c>
      <c r="J136" s="107"/>
    </row>
    <row r="137" spans="1:10" s="6" customFormat="1" ht="12.75">
      <c r="A137" s="13">
        <f t="shared" si="6"/>
        <v>75</v>
      </c>
      <c r="B137" s="23"/>
      <c r="C137" s="13" t="s">
        <v>11</v>
      </c>
      <c r="D137" s="39"/>
      <c r="E137" s="39"/>
      <c r="F137" s="39"/>
      <c r="G137" s="39"/>
      <c r="H137" s="39"/>
      <c r="I137" s="108"/>
      <c r="J137" s="107"/>
    </row>
    <row r="138" spans="1:10" s="6" customFormat="1" ht="12.75">
      <c r="A138" s="13">
        <f t="shared" si="6"/>
        <v>76</v>
      </c>
      <c r="B138" s="23"/>
      <c r="C138" s="13" t="s">
        <v>34</v>
      </c>
      <c r="D138" s="39">
        <v>4330</v>
      </c>
      <c r="E138" s="31">
        <f>G138-D138</f>
        <v>-4330</v>
      </c>
      <c r="F138" s="31">
        <v>4100</v>
      </c>
      <c r="G138" s="39">
        <v>0</v>
      </c>
      <c r="H138" s="39">
        <v>0</v>
      </c>
      <c r="I138" s="108">
        <f>G138/F138</f>
        <v>0</v>
      </c>
      <c r="J138" s="107"/>
    </row>
    <row r="139" spans="1:10" s="6" customFormat="1" ht="12.75">
      <c r="A139" s="13">
        <f t="shared" si="6"/>
        <v>77</v>
      </c>
      <c r="B139" s="23" t="s">
        <v>207</v>
      </c>
      <c r="C139" s="13" t="s">
        <v>189</v>
      </c>
      <c r="D139" s="39">
        <v>30000</v>
      </c>
      <c r="E139" s="31"/>
      <c r="F139" s="31">
        <v>30000</v>
      </c>
      <c r="G139" s="39">
        <v>20000</v>
      </c>
      <c r="H139" s="39"/>
      <c r="I139" s="108">
        <f>G139/F139</f>
        <v>0.6666666666666666</v>
      </c>
      <c r="J139" s="107"/>
    </row>
    <row r="140" spans="1:10" ht="12.75">
      <c r="A140" s="13">
        <f t="shared" si="6"/>
        <v>78</v>
      </c>
      <c r="B140" s="54" t="s">
        <v>202</v>
      </c>
      <c r="C140" s="9" t="s">
        <v>84</v>
      </c>
      <c r="D140" s="31"/>
      <c r="E140" s="31"/>
      <c r="F140" s="31"/>
      <c r="G140" s="31"/>
      <c r="H140" s="31"/>
      <c r="I140" s="108"/>
      <c r="J140" s="107"/>
    </row>
    <row r="141" spans="1:10" ht="12.75">
      <c r="A141" s="13">
        <f t="shared" si="6"/>
        <v>79</v>
      </c>
      <c r="B141" s="54"/>
      <c r="C141" s="9" t="s">
        <v>74</v>
      </c>
      <c r="D141" s="31">
        <v>0</v>
      </c>
      <c r="E141" s="31">
        <f>G141-D141</f>
        <v>0</v>
      </c>
      <c r="F141" s="31">
        <v>0</v>
      </c>
      <c r="G141" s="31">
        <v>0</v>
      </c>
      <c r="H141" s="31">
        <v>500</v>
      </c>
      <c r="I141" s="108"/>
      <c r="J141" s="107">
        <f>G141/G$460</f>
        <v>0</v>
      </c>
    </row>
    <row r="142" spans="1:10" ht="12.75">
      <c r="A142" s="13">
        <f t="shared" si="6"/>
        <v>80</v>
      </c>
      <c r="B142" s="54" t="s">
        <v>209</v>
      </c>
      <c r="C142" s="9" t="s">
        <v>122</v>
      </c>
      <c r="D142" s="31"/>
      <c r="E142" s="31"/>
      <c r="F142" s="31"/>
      <c r="G142" s="31"/>
      <c r="H142" s="31"/>
      <c r="I142" s="108"/>
      <c r="J142" s="107"/>
    </row>
    <row r="143" spans="1:10" ht="12.75">
      <c r="A143" s="13">
        <f t="shared" si="6"/>
        <v>81</v>
      </c>
      <c r="B143" s="9"/>
      <c r="C143" s="9" t="s">
        <v>147</v>
      </c>
      <c r="D143" s="31">
        <v>6035</v>
      </c>
      <c r="E143" s="31">
        <f>G143-D143</f>
        <v>-5035</v>
      </c>
      <c r="F143" s="31">
        <v>25000</v>
      </c>
      <c r="G143" s="31">
        <v>1000</v>
      </c>
      <c r="H143" s="31">
        <v>1000</v>
      </c>
      <c r="I143" s="108">
        <f>G143/F143</f>
        <v>0.04</v>
      </c>
      <c r="J143" s="107">
        <f>G143/G$460</f>
        <v>5.876308639243188E-05</v>
      </c>
    </row>
    <row r="144" spans="1:10" ht="12.75">
      <c r="A144" s="13">
        <f t="shared" si="6"/>
        <v>82</v>
      </c>
      <c r="B144" s="54" t="s">
        <v>200</v>
      </c>
      <c r="C144" s="9" t="s">
        <v>72</v>
      </c>
      <c r="D144" s="31">
        <v>1135</v>
      </c>
      <c r="E144" s="31"/>
      <c r="F144" s="31">
        <v>1100</v>
      </c>
      <c r="G144" s="31">
        <v>0</v>
      </c>
      <c r="H144" s="31"/>
      <c r="I144" s="108"/>
      <c r="J144" s="107"/>
    </row>
    <row r="145" spans="1:10" s="4" customFormat="1" ht="15">
      <c r="A145" s="13">
        <f t="shared" si="6"/>
        <v>83</v>
      </c>
      <c r="B145" s="16">
        <v>751</v>
      </c>
      <c r="C145" s="45" t="s">
        <v>66</v>
      </c>
      <c r="D145" s="24"/>
      <c r="E145" s="24"/>
      <c r="F145" s="24"/>
      <c r="G145" s="24"/>
      <c r="H145" s="24"/>
      <c r="I145" s="108"/>
      <c r="J145" s="107"/>
    </row>
    <row r="146" spans="1:10" s="4" customFormat="1" ht="15">
      <c r="A146" s="13">
        <f t="shared" si="6"/>
        <v>84</v>
      </c>
      <c r="B146" s="16"/>
      <c r="C146" s="45" t="s">
        <v>67</v>
      </c>
      <c r="D146" s="24"/>
      <c r="E146" s="24"/>
      <c r="F146" s="24"/>
      <c r="G146" s="24"/>
      <c r="H146" s="24"/>
      <c r="I146" s="108"/>
      <c r="J146" s="107"/>
    </row>
    <row r="147" spans="1:10" s="4" customFormat="1" ht="15">
      <c r="A147" s="13">
        <f t="shared" si="6"/>
        <v>85</v>
      </c>
      <c r="B147" s="16"/>
      <c r="C147" s="45" t="s">
        <v>68</v>
      </c>
      <c r="D147" s="24">
        <f>D149+D155+D162</f>
        <v>18020</v>
      </c>
      <c r="E147" s="24">
        <f>E149+E155+E154</f>
        <v>-7428</v>
      </c>
      <c r="F147" s="24">
        <f>F149+F155+F162</f>
        <v>18020</v>
      </c>
      <c r="G147" s="24">
        <f>G149+G155+G162</f>
        <v>1120</v>
      </c>
      <c r="H147" s="24" t="e">
        <f>H149+H155+#REF!+H154</f>
        <v>#REF!</v>
      </c>
      <c r="I147" s="113">
        <f>G147/F147</f>
        <v>0.06215316315205328</v>
      </c>
      <c r="J147" s="114">
        <f>G147/G$460</f>
        <v>6.581465675952371E-05</v>
      </c>
    </row>
    <row r="148" spans="1:10" s="3" customFormat="1" ht="12.75">
      <c r="A148" s="13">
        <f t="shared" si="6"/>
        <v>86</v>
      </c>
      <c r="B148" s="18">
        <v>75101</v>
      </c>
      <c r="C148" s="19" t="s">
        <v>69</v>
      </c>
      <c r="D148" s="25"/>
      <c r="E148" s="25"/>
      <c r="F148" s="25"/>
      <c r="G148" s="25"/>
      <c r="H148" s="25"/>
      <c r="I148" s="113"/>
      <c r="J148" s="114"/>
    </row>
    <row r="149" spans="1:10" s="3" customFormat="1" ht="12.75">
      <c r="A149" s="13">
        <f t="shared" si="6"/>
        <v>87</v>
      </c>
      <c r="B149" s="18"/>
      <c r="C149" s="19" t="s">
        <v>70</v>
      </c>
      <c r="D149" s="25">
        <f>D153</f>
        <v>1040</v>
      </c>
      <c r="E149" s="25">
        <f>E153</f>
        <v>80</v>
      </c>
      <c r="F149" s="25">
        <f>F153</f>
        <v>1040</v>
      </c>
      <c r="G149" s="25">
        <f>G153</f>
        <v>1120</v>
      </c>
      <c r="H149" s="25">
        <f>H153</f>
        <v>1020</v>
      </c>
      <c r="I149" s="115">
        <f>G149/F149</f>
        <v>1.0769230769230769</v>
      </c>
      <c r="J149" s="116">
        <f>G149/G$460</f>
        <v>6.581465675952371E-05</v>
      </c>
    </row>
    <row r="150" spans="1:10" ht="12.75">
      <c r="A150" s="13">
        <f t="shared" si="6"/>
        <v>88</v>
      </c>
      <c r="B150" s="54">
        <v>2010</v>
      </c>
      <c r="C150" s="9" t="s">
        <v>102</v>
      </c>
      <c r="D150" s="31"/>
      <c r="E150" s="31"/>
      <c r="F150" s="31"/>
      <c r="G150" s="31"/>
      <c r="H150" s="31"/>
      <c r="I150" s="108"/>
      <c r="J150" s="107"/>
    </row>
    <row r="151" spans="1:10" ht="12.75">
      <c r="A151" s="13">
        <f t="shared" si="6"/>
        <v>89</v>
      </c>
      <c r="B151" s="54"/>
      <c r="C151" s="9" t="s">
        <v>228</v>
      </c>
      <c r="D151" s="31"/>
      <c r="E151" s="31"/>
      <c r="F151" s="31"/>
      <c r="G151" s="31"/>
      <c r="H151" s="31"/>
      <c r="I151" s="108"/>
      <c r="J151" s="107"/>
    </row>
    <row r="152" spans="1:10" ht="12.75">
      <c r="A152" s="13">
        <f t="shared" si="6"/>
        <v>90</v>
      </c>
      <c r="B152" s="54"/>
      <c r="C152" s="9" t="s">
        <v>115</v>
      </c>
      <c r="D152" s="31"/>
      <c r="E152" s="31"/>
      <c r="F152" s="31"/>
      <c r="G152" s="31"/>
      <c r="H152" s="31"/>
      <c r="I152" s="108"/>
      <c r="J152" s="107"/>
    </row>
    <row r="153" spans="1:10" ht="12.75">
      <c r="A153" s="13">
        <f t="shared" si="6"/>
        <v>91</v>
      </c>
      <c r="B153" s="54"/>
      <c r="C153" s="9" t="s">
        <v>104</v>
      </c>
      <c r="D153" s="31">
        <v>1040</v>
      </c>
      <c r="E153" s="31">
        <f>G153-D153</f>
        <v>80</v>
      </c>
      <c r="F153" s="31">
        <v>1040</v>
      </c>
      <c r="G153" s="31">
        <v>1120</v>
      </c>
      <c r="H153" s="31">
        <v>1020</v>
      </c>
      <c r="I153" s="108">
        <f>G153/F153</f>
        <v>1.0769230769230769</v>
      </c>
      <c r="J153" s="107">
        <f>G153/G$460</f>
        <v>6.581465675952371E-05</v>
      </c>
    </row>
    <row r="154" spans="1:10" s="52" customFormat="1" ht="12.75">
      <c r="A154" s="13">
        <f t="shared" si="6"/>
        <v>92</v>
      </c>
      <c r="B154" s="53">
        <v>75109</v>
      </c>
      <c r="C154" s="50" t="s">
        <v>135</v>
      </c>
      <c r="D154" s="51"/>
      <c r="E154" s="51"/>
      <c r="F154" s="51"/>
      <c r="G154" s="51"/>
      <c r="H154" s="51"/>
      <c r="I154" s="108"/>
      <c r="J154" s="107"/>
    </row>
    <row r="155" spans="1:10" s="52" customFormat="1" ht="12.75">
      <c r="A155" s="13">
        <f t="shared" si="6"/>
        <v>93</v>
      </c>
      <c r="B155" s="53"/>
      <c r="C155" s="50" t="s">
        <v>136</v>
      </c>
      <c r="D155" s="51">
        <f>D159</f>
        <v>7508</v>
      </c>
      <c r="E155" s="51">
        <f>E159</f>
        <v>-7508</v>
      </c>
      <c r="F155" s="51">
        <f>F159</f>
        <v>7508</v>
      </c>
      <c r="G155" s="51">
        <f>G159</f>
        <v>0</v>
      </c>
      <c r="H155" s="51">
        <f>H159</f>
        <v>0</v>
      </c>
      <c r="I155" s="115">
        <f>G155/F155</f>
        <v>0</v>
      </c>
      <c r="J155" s="116"/>
    </row>
    <row r="156" spans="1:10" ht="12.75">
      <c r="A156" s="13">
        <f t="shared" si="6"/>
        <v>94</v>
      </c>
      <c r="B156" s="54">
        <v>2010</v>
      </c>
      <c r="C156" s="9" t="s">
        <v>102</v>
      </c>
      <c r="D156" s="31"/>
      <c r="E156" s="31"/>
      <c r="F156" s="31"/>
      <c r="G156" s="31"/>
      <c r="H156" s="31"/>
      <c r="I156" s="108"/>
      <c r="J156" s="107"/>
    </row>
    <row r="157" spans="1:10" ht="12.75">
      <c r="A157" s="13">
        <f t="shared" si="6"/>
        <v>95</v>
      </c>
      <c r="B157" s="54"/>
      <c r="C157" s="9" t="s">
        <v>114</v>
      </c>
      <c r="D157" s="31"/>
      <c r="E157" s="31"/>
      <c r="F157" s="31"/>
      <c r="G157" s="31"/>
      <c r="H157" s="31"/>
      <c r="I157" s="108"/>
      <c r="J157" s="107"/>
    </row>
    <row r="158" spans="1:10" ht="12.75">
      <c r="A158" s="13">
        <f t="shared" si="6"/>
        <v>96</v>
      </c>
      <c r="B158" s="54"/>
      <c r="C158" s="9" t="s">
        <v>115</v>
      </c>
      <c r="D158" s="31"/>
      <c r="E158" s="31"/>
      <c r="F158" s="31"/>
      <c r="G158" s="31"/>
      <c r="H158" s="31"/>
      <c r="I158" s="108"/>
      <c r="J158" s="107"/>
    </row>
    <row r="159" spans="1:10" ht="12.75">
      <c r="A159" s="13">
        <f t="shared" si="6"/>
        <v>97</v>
      </c>
      <c r="B159" s="54"/>
      <c r="C159" s="9" t="s">
        <v>104</v>
      </c>
      <c r="D159" s="31">
        <v>7508</v>
      </c>
      <c r="E159" s="31">
        <f>G159-D159</f>
        <v>-7508</v>
      </c>
      <c r="F159" s="31">
        <v>7508</v>
      </c>
      <c r="G159" s="31">
        <v>0</v>
      </c>
      <c r="H159" s="31">
        <v>0</v>
      </c>
      <c r="I159" s="108">
        <f>G159/F159</f>
        <v>0</v>
      </c>
      <c r="J159" s="107"/>
    </row>
    <row r="160" spans="1:10" ht="12.75">
      <c r="A160" s="13">
        <f t="shared" si="6"/>
        <v>98</v>
      </c>
      <c r="B160" s="54"/>
      <c r="C160" s="9"/>
      <c r="D160" s="31"/>
      <c r="E160" s="31"/>
      <c r="F160" s="31"/>
      <c r="G160" s="31"/>
      <c r="H160" s="31"/>
      <c r="I160" s="108"/>
      <c r="J160" s="107"/>
    </row>
    <row r="161" spans="1:10" ht="12.75">
      <c r="A161" s="13">
        <f t="shared" si="6"/>
        <v>99</v>
      </c>
      <c r="B161" s="54"/>
      <c r="C161" s="9"/>
      <c r="D161" s="31"/>
      <c r="E161" s="31"/>
      <c r="F161" s="31"/>
      <c r="G161" s="31"/>
      <c r="H161" s="31"/>
      <c r="I161" s="108"/>
      <c r="J161" s="107"/>
    </row>
    <row r="162" spans="1:10" s="52" customFormat="1" ht="12.75">
      <c r="A162" s="13">
        <f t="shared" si="6"/>
        <v>100</v>
      </c>
      <c r="B162" s="53">
        <v>75110</v>
      </c>
      <c r="C162" s="65" t="s">
        <v>190</v>
      </c>
      <c r="D162" s="51">
        <f>D166</f>
        <v>9472</v>
      </c>
      <c r="E162" s="51"/>
      <c r="F162" s="51">
        <f>F166</f>
        <v>9472</v>
      </c>
      <c r="G162" s="51">
        <f>G166</f>
        <v>0</v>
      </c>
      <c r="H162" s="51"/>
      <c r="I162" s="115"/>
      <c r="J162" s="116"/>
    </row>
    <row r="163" spans="1:10" ht="12.75">
      <c r="A163" s="13">
        <f t="shared" si="6"/>
        <v>101</v>
      </c>
      <c r="B163" s="54">
        <v>2010</v>
      </c>
      <c r="C163" s="9" t="s">
        <v>102</v>
      </c>
      <c r="D163" s="31"/>
      <c r="E163" s="31"/>
      <c r="F163" s="31"/>
      <c r="G163" s="31"/>
      <c r="H163" s="31"/>
      <c r="I163" s="108"/>
      <c r="J163" s="107"/>
    </row>
    <row r="164" spans="1:10" ht="12.75">
      <c r="A164" s="13">
        <f t="shared" si="6"/>
        <v>102</v>
      </c>
      <c r="B164" s="54"/>
      <c r="C164" s="9" t="s">
        <v>114</v>
      </c>
      <c r="D164" s="31"/>
      <c r="E164" s="31"/>
      <c r="F164" s="31"/>
      <c r="G164" s="31"/>
      <c r="H164" s="31"/>
      <c r="I164" s="108"/>
      <c r="J164" s="107"/>
    </row>
    <row r="165" spans="1:10" ht="12.75">
      <c r="A165" s="13">
        <f t="shared" si="6"/>
        <v>103</v>
      </c>
      <c r="B165" s="54"/>
      <c r="C165" s="9" t="s">
        <v>115</v>
      </c>
      <c r="D165" s="31"/>
      <c r="E165" s="31"/>
      <c r="F165" s="31"/>
      <c r="G165" s="31"/>
      <c r="H165" s="31"/>
      <c r="I165" s="108"/>
      <c r="J165" s="107"/>
    </row>
    <row r="166" spans="1:10" ht="12.75">
      <c r="A166" s="13">
        <f t="shared" si="6"/>
        <v>104</v>
      </c>
      <c r="B166" s="54"/>
      <c r="C166" s="9" t="s">
        <v>104</v>
      </c>
      <c r="D166" s="31">
        <v>9472</v>
      </c>
      <c r="E166" s="31"/>
      <c r="F166" s="31">
        <v>9472</v>
      </c>
      <c r="G166" s="31">
        <v>0</v>
      </c>
      <c r="H166" s="31"/>
      <c r="I166" s="108"/>
      <c r="J166" s="107"/>
    </row>
    <row r="167" spans="1:10" ht="12.75">
      <c r="A167" s="13">
        <f t="shared" si="6"/>
        <v>105</v>
      </c>
      <c r="B167" s="54"/>
      <c r="C167" s="9"/>
      <c r="D167" s="31"/>
      <c r="E167" s="31"/>
      <c r="F167" s="31"/>
      <c r="G167" s="31"/>
      <c r="H167" s="31"/>
      <c r="I167" s="108"/>
      <c r="J167" s="107"/>
    </row>
    <row r="168" spans="1:10" s="4" customFormat="1" ht="15">
      <c r="A168" s="13">
        <f t="shared" si="6"/>
        <v>106</v>
      </c>
      <c r="B168" s="16">
        <v>754</v>
      </c>
      <c r="C168" s="12" t="s">
        <v>6</v>
      </c>
      <c r="D168" s="24"/>
      <c r="E168" s="24"/>
      <c r="F168" s="24"/>
      <c r="G168" s="24"/>
      <c r="H168" s="24"/>
      <c r="I168" s="108"/>
      <c r="J168" s="107"/>
    </row>
    <row r="169" spans="1:10" s="4" customFormat="1" ht="15">
      <c r="A169" s="13">
        <f t="shared" si="6"/>
        <v>107</v>
      </c>
      <c r="B169" s="16"/>
      <c r="C169" s="12" t="s">
        <v>59</v>
      </c>
      <c r="D169" s="24">
        <f>+D170+D175</f>
        <v>16000</v>
      </c>
      <c r="E169" s="24">
        <f>+E170+E175</f>
        <v>4000</v>
      </c>
      <c r="F169" s="24">
        <f>+F170+F175</f>
        <v>20000</v>
      </c>
      <c r="G169" s="24">
        <f>+G170+G175</f>
        <v>20000</v>
      </c>
      <c r="H169" s="24">
        <f>H170+H175</f>
        <v>16000</v>
      </c>
      <c r="I169" s="113">
        <f>G169/F169</f>
        <v>1</v>
      </c>
      <c r="J169" s="114">
        <f>G169/G$460</f>
        <v>0.0011752617278486376</v>
      </c>
    </row>
    <row r="170" spans="1:10" s="3" customFormat="1" ht="12.75">
      <c r="A170" s="13">
        <f t="shared" si="6"/>
        <v>108</v>
      </c>
      <c r="B170" s="22">
        <v>75414</v>
      </c>
      <c r="C170" s="19" t="s">
        <v>35</v>
      </c>
      <c r="D170" s="25">
        <f>D174</f>
        <v>0</v>
      </c>
      <c r="E170" s="25">
        <f>E174</f>
        <v>0</v>
      </c>
      <c r="F170" s="25">
        <f>F174</f>
        <v>0</v>
      </c>
      <c r="G170" s="25">
        <f>G174</f>
        <v>0</v>
      </c>
      <c r="H170" s="25">
        <f>H174</f>
        <v>0</v>
      </c>
      <c r="I170" s="115"/>
      <c r="J170" s="116"/>
    </row>
    <row r="171" spans="1:10" ht="12.75">
      <c r="A171" s="13">
        <f t="shared" si="6"/>
        <v>109</v>
      </c>
      <c r="B171" s="54">
        <v>2010</v>
      </c>
      <c r="C171" s="9" t="s">
        <v>102</v>
      </c>
      <c r="D171" s="31"/>
      <c r="E171" s="31"/>
      <c r="F171" s="31"/>
      <c r="G171" s="31"/>
      <c r="H171" s="31"/>
      <c r="I171" s="108"/>
      <c r="J171" s="107"/>
    </row>
    <row r="172" spans="1:10" ht="12.75">
      <c r="A172" s="13">
        <f t="shared" si="6"/>
        <v>110</v>
      </c>
      <c r="B172" s="54"/>
      <c r="C172" s="9" t="s">
        <v>228</v>
      </c>
      <c r="D172" s="31"/>
      <c r="E172" s="31"/>
      <c r="F172" s="31"/>
      <c r="G172" s="31"/>
      <c r="H172" s="31"/>
      <c r="I172" s="108"/>
      <c r="J172" s="107"/>
    </row>
    <row r="173" spans="1:10" ht="12.75">
      <c r="A173" s="13">
        <f t="shared" si="6"/>
        <v>111</v>
      </c>
      <c r="B173" s="54"/>
      <c r="C173" s="9" t="s">
        <v>115</v>
      </c>
      <c r="D173" s="31"/>
      <c r="E173" s="31"/>
      <c r="F173" s="31"/>
      <c r="G173" s="31"/>
      <c r="H173" s="31"/>
      <c r="I173" s="108"/>
      <c r="J173" s="107"/>
    </row>
    <row r="174" spans="1:10" ht="12.75">
      <c r="A174" s="13">
        <f t="shared" si="6"/>
        <v>112</v>
      </c>
      <c r="B174" s="54"/>
      <c r="C174" s="9" t="s">
        <v>104</v>
      </c>
      <c r="D174" s="31">
        <v>0</v>
      </c>
      <c r="E174" s="31">
        <f>G174-D174</f>
        <v>0</v>
      </c>
      <c r="F174" s="31">
        <v>0</v>
      </c>
      <c r="G174" s="31">
        <v>0</v>
      </c>
      <c r="H174" s="31">
        <v>0</v>
      </c>
      <c r="I174" s="108"/>
      <c r="J174" s="107"/>
    </row>
    <row r="175" spans="1:10" s="52" customFormat="1" ht="12.75">
      <c r="A175" s="13">
        <f t="shared" si="6"/>
        <v>113</v>
      </c>
      <c r="B175" s="53">
        <v>75416</v>
      </c>
      <c r="C175" s="50" t="s">
        <v>127</v>
      </c>
      <c r="D175" s="51">
        <f>D177</f>
        <v>16000</v>
      </c>
      <c r="E175" s="51">
        <f>E177</f>
        <v>4000</v>
      </c>
      <c r="F175" s="51">
        <f>F177</f>
        <v>20000</v>
      </c>
      <c r="G175" s="51">
        <f>G177</f>
        <v>20000</v>
      </c>
      <c r="H175" s="51">
        <f>H177</f>
        <v>16000</v>
      </c>
      <c r="I175" s="115">
        <f>G175/F175</f>
        <v>1</v>
      </c>
      <c r="J175" s="116">
        <f>G175/G$460</f>
        <v>0.0011752617278486376</v>
      </c>
    </row>
    <row r="176" spans="1:10" ht="12.75">
      <c r="A176" s="13">
        <f t="shared" si="6"/>
        <v>114</v>
      </c>
      <c r="B176" s="54" t="s">
        <v>211</v>
      </c>
      <c r="C176" s="9" t="s">
        <v>128</v>
      </c>
      <c r="D176" s="31"/>
      <c r="E176" s="31"/>
      <c r="F176" s="31"/>
      <c r="G176" s="31"/>
      <c r="H176" s="31"/>
      <c r="I176" s="108"/>
      <c r="J176" s="107"/>
    </row>
    <row r="177" spans="1:10" ht="12.75">
      <c r="A177" s="13">
        <f t="shared" si="6"/>
        <v>115</v>
      </c>
      <c r="B177" s="54"/>
      <c r="C177" s="9" t="s">
        <v>89</v>
      </c>
      <c r="D177" s="31">
        <f>12200+3800</f>
        <v>16000</v>
      </c>
      <c r="E177" s="31">
        <f>G177-D177</f>
        <v>4000</v>
      </c>
      <c r="F177" s="31">
        <v>20000</v>
      </c>
      <c r="G177" s="31">
        <v>20000</v>
      </c>
      <c r="H177" s="31">
        <v>16000</v>
      </c>
      <c r="I177" s="108">
        <f>G177/F177</f>
        <v>1</v>
      </c>
      <c r="J177" s="107">
        <f>G177/G$460</f>
        <v>0.0011752617278486376</v>
      </c>
    </row>
    <row r="178" spans="1:10" s="4" customFormat="1" ht="15">
      <c r="A178" s="13">
        <f t="shared" si="6"/>
        <v>116</v>
      </c>
      <c r="B178" s="16">
        <v>756</v>
      </c>
      <c r="C178" s="17" t="s">
        <v>22</v>
      </c>
      <c r="D178" s="24"/>
      <c r="E178" s="24"/>
      <c r="F178" s="24"/>
      <c r="G178" s="24"/>
      <c r="H178" s="24"/>
      <c r="I178" s="108"/>
      <c r="J178" s="107"/>
    </row>
    <row r="179" spans="1:10" s="4" customFormat="1" ht="15">
      <c r="A179" s="13">
        <f t="shared" si="6"/>
        <v>117</v>
      </c>
      <c r="B179" s="16"/>
      <c r="C179" s="17" t="s">
        <v>23</v>
      </c>
      <c r="D179" s="24">
        <f>D181+D189+D207+D224+D230</f>
        <v>6883976</v>
      </c>
      <c r="E179" s="24" t="e">
        <f>E181+E189++E207+E223+E230</f>
        <v>#REF!</v>
      </c>
      <c r="F179" s="24">
        <f>F181+F189+F207+F224+F230</f>
        <v>6826350</v>
      </c>
      <c r="G179" s="24">
        <f>G181+G189+G207+G224+G230</f>
        <v>7645793</v>
      </c>
      <c r="H179" s="24">
        <f>H181+H189++H207+H223+H230</f>
        <v>6392351</v>
      </c>
      <c r="I179" s="113">
        <f>G179/F179</f>
        <v>1.1200411640188388</v>
      </c>
      <c r="J179" s="114">
        <f>G179/G$460</f>
        <v>0.4492903945976509</v>
      </c>
    </row>
    <row r="180" spans="1:10" s="3" customFormat="1" ht="12.75">
      <c r="A180" s="13">
        <f t="shared" si="6"/>
        <v>118</v>
      </c>
      <c r="B180" s="18">
        <v>75601</v>
      </c>
      <c r="C180" s="27" t="s">
        <v>53</v>
      </c>
      <c r="D180" s="25"/>
      <c r="E180" s="25"/>
      <c r="F180" s="25"/>
      <c r="G180" s="25"/>
      <c r="H180" s="25"/>
      <c r="I180" s="113"/>
      <c r="J180" s="114"/>
    </row>
    <row r="181" spans="1:10" s="3" customFormat="1" ht="12.75">
      <c r="A181" s="13">
        <f t="shared" si="6"/>
        <v>119</v>
      </c>
      <c r="B181" s="18"/>
      <c r="C181" s="27" t="s">
        <v>52</v>
      </c>
      <c r="D181" s="25">
        <f>SUM(D184:D185)</f>
        <v>140000</v>
      </c>
      <c r="E181" s="25">
        <f>SUM(E184:E185)</f>
        <v>-900</v>
      </c>
      <c r="F181" s="25">
        <f>SUM(F184:F185)</f>
        <v>139100</v>
      </c>
      <c r="G181" s="25">
        <f>SUM(G184:G185)</f>
        <v>139100</v>
      </c>
      <c r="H181" s="25">
        <f>SUM(H184:H185)</f>
        <v>140000</v>
      </c>
      <c r="I181" s="115">
        <f>G181/F181</f>
        <v>1</v>
      </c>
      <c r="J181" s="116">
        <f>G181/G$460</f>
        <v>0.008173945317187275</v>
      </c>
    </row>
    <row r="182" spans="1:10" s="3" customFormat="1" ht="12.75">
      <c r="A182" s="13">
        <f t="shared" si="6"/>
        <v>120</v>
      </c>
      <c r="B182" s="54" t="s">
        <v>212</v>
      </c>
      <c r="C182" s="9" t="s">
        <v>91</v>
      </c>
      <c r="D182" s="25"/>
      <c r="E182" s="25"/>
      <c r="F182" s="25"/>
      <c r="G182" s="25"/>
      <c r="H182" s="25"/>
      <c r="I182" s="108"/>
      <c r="J182" s="107"/>
    </row>
    <row r="183" spans="1:10" s="3" customFormat="1" ht="12.75">
      <c r="A183" s="13">
        <f t="shared" si="6"/>
        <v>121</v>
      </c>
      <c r="B183" s="54"/>
      <c r="C183" s="9" t="s">
        <v>119</v>
      </c>
      <c r="D183" s="25"/>
      <c r="E183" s="25"/>
      <c r="F183" s="25"/>
      <c r="G183" s="25"/>
      <c r="H183" s="25"/>
      <c r="I183" s="108"/>
      <c r="J183" s="107"/>
    </row>
    <row r="184" spans="1:10" s="3" customFormat="1" ht="12.75">
      <c r="A184" s="13">
        <f t="shared" si="6"/>
        <v>122</v>
      </c>
      <c r="B184" s="54"/>
      <c r="C184" s="9" t="s">
        <v>92</v>
      </c>
      <c r="D184" s="62">
        <v>138000</v>
      </c>
      <c r="E184" s="31">
        <f>G184-D184</f>
        <v>0</v>
      </c>
      <c r="F184" s="31">
        <v>138000</v>
      </c>
      <c r="G184" s="62">
        <v>138000</v>
      </c>
      <c r="H184" s="62">
        <v>138000</v>
      </c>
      <c r="I184" s="108">
        <f>G184/F184</f>
        <v>1</v>
      </c>
      <c r="J184" s="107">
        <f>G184/G$460</f>
        <v>0.008109305922155599</v>
      </c>
    </row>
    <row r="185" spans="1:10" s="3" customFormat="1" ht="12.75">
      <c r="A185" s="13">
        <f t="shared" si="6"/>
        <v>123</v>
      </c>
      <c r="B185" s="54" t="s">
        <v>202</v>
      </c>
      <c r="C185" s="9" t="s">
        <v>137</v>
      </c>
      <c r="D185" s="62">
        <v>2000</v>
      </c>
      <c r="E185" s="31">
        <f>G185-D185</f>
        <v>-900</v>
      </c>
      <c r="F185" s="31">
        <v>1100</v>
      </c>
      <c r="G185" s="62">
        <v>1100</v>
      </c>
      <c r="H185" s="62">
        <v>2000</v>
      </c>
      <c r="I185" s="108">
        <f>G185/F185</f>
        <v>1</v>
      </c>
      <c r="J185" s="107">
        <f>G185/G$460</f>
        <v>6.463939503167507E-05</v>
      </c>
    </row>
    <row r="186" spans="1:10" s="3" customFormat="1" ht="12.75">
      <c r="A186" s="13">
        <f t="shared" si="6"/>
        <v>124</v>
      </c>
      <c r="B186" s="18">
        <v>75615</v>
      </c>
      <c r="C186" s="27" t="s">
        <v>54</v>
      </c>
      <c r="D186" s="25"/>
      <c r="E186" s="25"/>
      <c r="F186" s="25"/>
      <c r="G186" s="25"/>
      <c r="H186" s="25"/>
      <c r="I186" s="108"/>
      <c r="J186" s="107"/>
    </row>
    <row r="187" spans="1:10" s="3" customFormat="1" ht="12.75">
      <c r="A187" s="13">
        <f t="shared" si="6"/>
        <v>125</v>
      </c>
      <c r="B187" s="18"/>
      <c r="C187" s="27" t="s">
        <v>193</v>
      </c>
      <c r="D187" s="25"/>
      <c r="E187" s="25"/>
      <c r="F187" s="25"/>
      <c r="G187" s="25"/>
      <c r="H187" s="25"/>
      <c r="I187" s="108"/>
      <c r="J187" s="107"/>
    </row>
    <row r="188" spans="1:10" s="3" customFormat="1" ht="12.75">
      <c r="A188" s="13">
        <f t="shared" si="6"/>
        <v>126</v>
      </c>
      <c r="B188" s="18"/>
      <c r="C188" s="27" t="s">
        <v>194</v>
      </c>
      <c r="D188" s="25"/>
      <c r="E188" s="25"/>
      <c r="F188" s="25"/>
      <c r="G188" s="25"/>
      <c r="H188" s="25"/>
      <c r="I188" s="108"/>
      <c r="J188" s="107"/>
    </row>
    <row r="189" spans="1:10" s="3" customFormat="1" ht="12.75">
      <c r="A189" s="13">
        <f t="shared" si="6"/>
        <v>127</v>
      </c>
      <c r="B189" s="18"/>
      <c r="C189" s="27" t="s">
        <v>195</v>
      </c>
      <c r="D189" s="25">
        <f>D190+D191+D192+D193+D194+D195+D196+D197+D198+D203</f>
        <v>3600600</v>
      </c>
      <c r="E189" s="25">
        <f>E190+E191+E192+E193+E197+E198+E203</f>
        <v>1353400</v>
      </c>
      <c r="F189" s="25">
        <f>F190+F191+F192+F193+F194+F195+F196+F197+F198+F203</f>
        <v>3575600</v>
      </c>
      <c r="G189" s="25">
        <f>G190+G191+G192+G193+G194+G195+G196+G197+G198+G203</f>
        <v>5306000</v>
      </c>
      <c r="H189" s="25">
        <f>H190+H191+H192+H193+H197+H198+H203</f>
        <v>3568940</v>
      </c>
      <c r="I189" s="115"/>
      <c r="J189" s="107">
        <f aca="true" t="shared" si="7" ref="J189:J198">G189/G$460</f>
        <v>0.3117969363982436</v>
      </c>
    </row>
    <row r="190" spans="1:10" ht="12.75">
      <c r="A190" s="13">
        <f t="shared" si="6"/>
        <v>128</v>
      </c>
      <c r="B190" s="54" t="s">
        <v>213</v>
      </c>
      <c r="C190" s="9" t="s">
        <v>26</v>
      </c>
      <c r="D190" s="31">
        <v>3452000</v>
      </c>
      <c r="E190" s="31">
        <f aca="true" t="shared" si="8" ref="E190:E196">G190-D190</f>
        <v>1090000</v>
      </c>
      <c r="F190" s="31">
        <v>3350500</v>
      </c>
      <c r="G190" s="31">
        <f>4400000+142000</f>
        <v>4542000</v>
      </c>
      <c r="H190" s="31">
        <f>3121000+198500</f>
        <v>3319500</v>
      </c>
      <c r="I190" s="108">
        <v>1.0023</v>
      </c>
      <c r="J190" s="107">
        <f t="shared" si="7"/>
        <v>0.2669019383944256</v>
      </c>
    </row>
    <row r="191" spans="1:10" ht="12.75">
      <c r="A191" s="13">
        <f t="shared" si="6"/>
        <v>129</v>
      </c>
      <c r="B191" s="54" t="s">
        <v>214</v>
      </c>
      <c r="C191" s="9" t="s">
        <v>24</v>
      </c>
      <c r="D191" s="31">
        <v>600</v>
      </c>
      <c r="E191" s="31">
        <f t="shared" si="8"/>
        <v>21400</v>
      </c>
      <c r="F191" s="31">
        <v>600</v>
      </c>
      <c r="G191" s="31">
        <v>22000</v>
      </c>
      <c r="H191" s="31">
        <v>500</v>
      </c>
      <c r="I191" s="108">
        <v>1.0185</v>
      </c>
      <c r="J191" s="107">
        <f t="shared" si="7"/>
        <v>0.0012927879006335013</v>
      </c>
    </row>
    <row r="192" spans="1:10" ht="12.75">
      <c r="A192" s="13">
        <f t="shared" si="6"/>
        <v>130</v>
      </c>
      <c r="B192" s="54" t="s">
        <v>215</v>
      </c>
      <c r="C192" s="9" t="s">
        <v>25</v>
      </c>
      <c r="D192" s="31">
        <v>54000</v>
      </c>
      <c r="E192" s="31">
        <f t="shared" si="8"/>
        <v>1000</v>
      </c>
      <c r="F192" s="31">
        <v>54000</v>
      </c>
      <c r="G192" s="31">
        <v>55000</v>
      </c>
      <c r="H192" s="31">
        <v>51940</v>
      </c>
      <c r="I192" s="108">
        <v>1.0176</v>
      </c>
      <c r="J192" s="107">
        <f t="shared" si="7"/>
        <v>0.0032319697515837535</v>
      </c>
    </row>
    <row r="193" spans="1:10" ht="12.75">
      <c r="A193" s="13">
        <f t="shared" si="6"/>
        <v>131</v>
      </c>
      <c r="B193" s="54" t="s">
        <v>216</v>
      </c>
      <c r="C193" s="9" t="s">
        <v>27</v>
      </c>
      <c r="D193" s="31">
        <v>20000</v>
      </c>
      <c r="E193" s="31">
        <f t="shared" si="8"/>
        <v>50000</v>
      </c>
      <c r="F193" s="31">
        <v>24500</v>
      </c>
      <c r="G193" s="31">
        <v>70000</v>
      </c>
      <c r="H193" s="31">
        <v>14000</v>
      </c>
      <c r="I193" s="108">
        <v>1.0072</v>
      </c>
      <c r="J193" s="107">
        <f t="shared" si="7"/>
        <v>0.004113416047470232</v>
      </c>
    </row>
    <row r="194" spans="1:10" ht="12.75">
      <c r="A194" s="13">
        <f t="shared" si="6"/>
        <v>132</v>
      </c>
      <c r="B194" s="54" t="s">
        <v>217</v>
      </c>
      <c r="C194" s="9" t="s">
        <v>30</v>
      </c>
      <c r="D194" s="31">
        <v>0</v>
      </c>
      <c r="E194" s="31">
        <f t="shared" si="8"/>
        <v>90000</v>
      </c>
      <c r="F194" s="31">
        <v>0</v>
      </c>
      <c r="G194" s="31">
        <v>90000</v>
      </c>
      <c r="H194" s="31"/>
      <c r="I194" s="108">
        <v>1</v>
      </c>
      <c r="J194" s="107">
        <f t="shared" si="7"/>
        <v>0.005288677775318869</v>
      </c>
    </row>
    <row r="195" spans="1:10" ht="12.75">
      <c r="A195" s="13">
        <f t="shared" si="6"/>
        <v>133</v>
      </c>
      <c r="B195" s="54" t="s">
        <v>218</v>
      </c>
      <c r="C195" s="9" t="s">
        <v>31</v>
      </c>
      <c r="D195" s="31">
        <v>0</v>
      </c>
      <c r="E195" s="31">
        <f t="shared" si="8"/>
        <v>7000</v>
      </c>
      <c r="F195" s="31">
        <v>0</v>
      </c>
      <c r="G195" s="31">
        <v>7000</v>
      </c>
      <c r="H195" s="31"/>
      <c r="I195" s="108">
        <v>1</v>
      </c>
      <c r="J195" s="107">
        <f t="shared" si="7"/>
        <v>0.00041134160474702315</v>
      </c>
    </row>
    <row r="196" spans="1:10" ht="12.75">
      <c r="A196" s="13">
        <f aca="true" t="shared" si="9" ref="A196:A259">A195+1</f>
        <v>134</v>
      </c>
      <c r="B196" s="54" t="s">
        <v>219</v>
      </c>
      <c r="C196" s="9" t="s">
        <v>93</v>
      </c>
      <c r="D196" s="31">
        <v>0</v>
      </c>
      <c r="E196" s="31">
        <f t="shared" si="8"/>
        <v>250000</v>
      </c>
      <c r="F196" s="31">
        <v>0</v>
      </c>
      <c r="G196" s="31">
        <v>250000</v>
      </c>
      <c r="H196" s="31"/>
      <c r="I196" s="108">
        <v>1</v>
      </c>
      <c r="J196" s="107">
        <f t="shared" si="7"/>
        <v>0.01469077159810797</v>
      </c>
    </row>
    <row r="197" spans="1:10" ht="12.75">
      <c r="A197" s="13">
        <f t="shared" si="9"/>
        <v>135</v>
      </c>
      <c r="B197" s="54" t="s">
        <v>220</v>
      </c>
      <c r="C197" s="9" t="s">
        <v>138</v>
      </c>
      <c r="D197" s="31">
        <v>23000</v>
      </c>
      <c r="E197" s="31">
        <f>G197-D197</f>
        <v>197000</v>
      </c>
      <c r="F197" s="31">
        <v>80000</v>
      </c>
      <c r="G197" s="31">
        <v>220000</v>
      </c>
      <c r="H197" s="31">
        <v>15000</v>
      </c>
      <c r="I197" s="108">
        <v>0.9778</v>
      </c>
      <c r="J197" s="107">
        <f t="shared" si="7"/>
        <v>0.012927879006335014</v>
      </c>
    </row>
    <row r="198" spans="1:10" ht="12.75">
      <c r="A198" s="13">
        <f t="shared" si="9"/>
        <v>136</v>
      </c>
      <c r="B198" s="54" t="s">
        <v>196</v>
      </c>
      <c r="C198" s="9" t="s">
        <v>77</v>
      </c>
      <c r="D198" s="31">
        <f>SUM(D200:D201)</f>
        <v>1000</v>
      </c>
      <c r="E198" s="31">
        <f>SUM(E200)</f>
        <v>9000</v>
      </c>
      <c r="F198" s="31">
        <f>SUM(F200:F201)</f>
        <v>10000</v>
      </c>
      <c r="G198" s="31">
        <f>SUM(G200:G201)</f>
        <v>15000</v>
      </c>
      <c r="H198" s="31">
        <f>SUM(H200)</f>
        <v>18000</v>
      </c>
      <c r="I198" s="108">
        <v>0.9615</v>
      </c>
      <c r="J198" s="107">
        <f t="shared" si="7"/>
        <v>0.0008814462958864782</v>
      </c>
    </row>
    <row r="199" spans="1:10" ht="12.75">
      <c r="A199" s="13">
        <f t="shared" si="9"/>
        <v>137</v>
      </c>
      <c r="B199" s="54"/>
      <c r="C199" s="9" t="s">
        <v>11</v>
      </c>
      <c r="D199" s="31"/>
      <c r="E199" s="31"/>
      <c r="F199" s="31"/>
      <c r="G199" s="31"/>
      <c r="H199" s="31"/>
      <c r="I199" s="108"/>
      <c r="J199" s="107"/>
    </row>
    <row r="200" spans="1:10" ht="12.75">
      <c r="A200" s="13">
        <f t="shared" si="9"/>
        <v>138</v>
      </c>
      <c r="B200" s="54"/>
      <c r="C200" s="9" t="s">
        <v>28</v>
      </c>
      <c r="D200" s="31">
        <v>1000</v>
      </c>
      <c r="E200" s="31">
        <f>G200-D200</f>
        <v>9000</v>
      </c>
      <c r="F200" s="31">
        <v>10000</v>
      </c>
      <c r="G200" s="31">
        <v>10000</v>
      </c>
      <c r="H200" s="31">
        <v>18000</v>
      </c>
      <c r="I200" s="108">
        <v>0.9615</v>
      </c>
      <c r="J200" s="107">
        <f>G200/G$460</f>
        <v>0.0005876308639243188</v>
      </c>
    </row>
    <row r="201" spans="1:10" ht="12.75">
      <c r="A201" s="13">
        <f t="shared" si="9"/>
        <v>139</v>
      </c>
      <c r="B201" s="54"/>
      <c r="C201" s="9" t="s">
        <v>143</v>
      </c>
      <c r="D201" s="31">
        <v>0</v>
      </c>
      <c r="E201" s="31"/>
      <c r="F201" s="31">
        <v>0</v>
      </c>
      <c r="G201" s="31">
        <v>5000</v>
      </c>
      <c r="H201" s="31"/>
      <c r="I201" s="108"/>
      <c r="J201" s="107">
        <f>G201/G$460</f>
        <v>0.0002938154319621594</v>
      </c>
    </row>
    <row r="202" spans="1:10" ht="12.75">
      <c r="A202" s="13">
        <f t="shared" si="9"/>
        <v>140</v>
      </c>
      <c r="B202" s="54" t="s">
        <v>202</v>
      </c>
      <c r="C202" s="9" t="s">
        <v>84</v>
      </c>
      <c r="D202" s="31"/>
      <c r="E202" s="31">
        <f>G202-D202</f>
        <v>0</v>
      </c>
      <c r="F202" s="31"/>
      <c r="G202" s="31"/>
      <c r="H202" s="31"/>
      <c r="I202" s="108"/>
      <c r="J202" s="107"/>
    </row>
    <row r="203" spans="1:10" ht="12.75">
      <c r="A203" s="13">
        <f t="shared" si="9"/>
        <v>141</v>
      </c>
      <c r="B203" s="9"/>
      <c r="C203" s="9" t="s">
        <v>74</v>
      </c>
      <c r="D203" s="31">
        <f>150000-100000</f>
        <v>50000</v>
      </c>
      <c r="E203" s="31">
        <f>G203-D203</f>
        <v>-15000</v>
      </c>
      <c r="F203" s="31">
        <v>56000</v>
      </c>
      <c r="G203" s="31">
        <v>35000</v>
      </c>
      <c r="H203" s="31">
        <f>50000+100000</f>
        <v>150000</v>
      </c>
      <c r="I203" s="108">
        <v>0.9615</v>
      </c>
      <c r="J203" s="107">
        <f>G203/G$460</f>
        <v>0.002056708023735116</v>
      </c>
    </row>
    <row r="204" spans="1:10" ht="12.75">
      <c r="A204" s="13">
        <f t="shared" si="9"/>
        <v>142</v>
      </c>
      <c r="B204" s="53">
        <v>75616</v>
      </c>
      <c r="C204" s="27" t="s">
        <v>54</v>
      </c>
      <c r="D204" s="31"/>
      <c r="E204" s="31"/>
      <c r="F204" s="31"/>
      <c r="G204" s="31"/>
      <c r="H204" s="31"/>
      <c r="I204" s="108"/>
      <c r="J204" s="107"/>
    </row>
    <row r="205" spans="1:10" ht="12.75">
      <c r="A205" s="13">
        <f t="shared" si="9"/>
        <v>143</v>
      </c>
      <c r="B205" s="9"/>
      <c r="C205" s="27" t="s">
        <v>55</v>
      </c>
      <c r="D205" s="31"/>
      <c r="E205" s="31"/>
      <c r="F205" s="31"/>
      <c r="G205" s="31"/>
      <c r="H205" s="31"/>
      <c r="I205" s="108"/>
      <c r="J205" s="107"/>
    </row>
    <row r="206" spans="1:10" ht="12.75">
      <c r="A206" s="13">
        <f t="shared" si="9"/>
        <v>144</v>
      </c>
      <c r="B206" s="9"/>
      <c r="C206" s="27" t="s">
        <v>56</v>
      </c>
      <c r="D206" s="31"/>
      <c r="E206" s="31"/>
      <c r="F206" s="31"/>
      <c r="G206" s="31"/>
      <c r="H206" s="31"/>
      <c r="I206" s="108"/>
      <c r="J206" s="107"/>
    </row>
    <row r="207" spans="1:11" ht="12.75">
      <c r="A207" s="13">
        <f t="shared" si="9"/>
        <v>145</v>
      </c>
      <c r="B207" s="9"/>
      <c r="C207" s="27" t="s">
        <v>57</v>
      </c>
      <c r="D207" s="79">
        <f>D208+D209+D210+D211+D212+D213+D214+D215+D216+D217+D222</f>
        <v>1441050</v>
      </c>
      <c r="E207" s="79">
        <f>E208+E209+E210+E211+E212+E213+E214+E215+E216+E217+E222</f>
        <v>-1441050</v>
      </c>
      <c r="F207" s="79">
        <f>F208+F209+F210+F211+F212+F213+F214+F215+F216+F217+F222</f>
        <v>1621650</v>
      </c>
      <c r="G207" s="79">
        <f>G208+G209+G210+G211+G212+G213+G214+G215+G216+G217+G222</f>
        <v>0</v>
      </c>
      <c r="H207" s="79">
        <f>H208+H209+H210+H211+H212+H213+H214+H215+H216+H217+H222</f>
        <v>1421210</v>
      </c>
      <c r="I207" s="115">
        <f aca="true" t="shared" si="10" ref="I207:I255">G207/F207</f>
        <v>0</v>
      </c>
      <c r="J207" s="116">
        <f aca="true" t="shared" si="11" ref="J207:J217">G207/G$460</f>
        <v>0</v>
      </c>
      <c r="K207" s="83"/>
    </row>
    <row r="208" spans="1:10" ht="12.75">
      <c r="A208" s="13">
        <f t="shared" si="9"/>
        <v>146</v>
      </c>
      <c r="B208" s="54" t="s">
        <v>213</v>
      </c>
      <c r="C208" s="9" t="s">
        <v>26</v>
      </c>
      <c r="D208" s="31">
        <v>1000000</v>
      </c>
      <c r="E208" s="31">
        <f aca="true" t="shared" si="12" ref="E208:E216">G208-D208</f>
        <v>-1000000</v>
      </c>
      <c r="F208" s="31">
        <v>1040000</v>
      </c>
      <c r="G208" s="31">
        <v>0</v>
      </c>
      <c r="H208" s="31">
        <f>920000+26144+16615</f>
        <v>962759</v>
      </c>
      <c r="I208" s="108">
        <f t="shared" si="10"/>
        <v>0</v>
      </c>
      <c r="J208" s="107">
        <f t="shared" si="11"/>
        <v>0</v>
      </c>
    </row>
    <row r="209" spans="1:10" ht="12.75">
      <c r="A209" s="13">
        <f t="shared" si="9"/>
        <v>147</v>
      </c>
      <c r="B209" s="54" t="s">
        <v>214</v>
      </c>
      <c r="C209" s="9" t="s">
        <v>24</v>
      </c>
      <c r="D209" s="31">
        <v>11000</v>
      </c>
      <c r="E209" s="31">
        <f t="shared" si="12"/>
        <v>-11000</v>
      </c>
      <c r="F209" s="31">
        <v>21000</v>
      </c>
      <c r="G209" s="31">
        <v>0</v>
      </c>
      <c r="H209" s="31">
        <v>10500</v>
      </c>
      <c r="I209" s="108">
        <f t="shared" si="10"/>
        <v>0</v>
      </c>
      <c r="J209" s="107">
        <f t="shared" si="11"/>
        <v>0</v>
      </c>
    </row>
    <row r="210" spans="1:10" ht="12.75">
      <c r="A210" s="13">
        <f t="shared" si="9"/>
        <v>148</v>
      </c>
      <c r="B210" s="54" t="s">
        <v>215</v>
      </c>
      <c r="C210" s="9" t="s">
        <v>25</v>
      </c>
      <c r="D210" s="31">
        <v>50</v>
      </c>
      <c r="E210" s="31">
        <f t="shared" si="12"/>
        <v>-50</v>
      </c>
      <c r="F210" s="31">
        <v>50</v>
      </c>
      <c r="G210" s="31">
        <v>0</v>
      </c>
      <c r="H210" s="31">
        <v>51</v>
      </c>
      <c r="I210" s="108">
        <f t="shared" si="10"/>
        <v>0</v>
      </c>
      <c r="J210" s="107">
        <f t="shared" si="11"/>
        <v>0</v>
      </c>
    </row>
    <row r="211" spans="1:10" ht="12.75">
      <c r="A211" s="13">
        <f t="shared" si="9"/>
        <v>149</v>
      </c>
      <c r="B211" s="54" t="s">
        <v>216</v>
      </c>
      <c r="C211" s="9" t="s">
        <v>27</v>
      </c>
      <c r="D211" s="31">
        <v>40000</v>
      </c>
      <c r="E211" s="31">
        <f t="shared" si="12"/>
        <v>-40000</v>
      </c>
      <c r="F211" s="31">
        <v>45000</v>
      </c>
      <c r="G211" s="31">
        <v>0</v>
      </c>
      <c r="H211" s="31">
        <v>30000</v>
      </c>
      <c r="I211" s="108">
        <f t="shared" si="10"/>
        <v>0</v>
      </c>
      <c r="J211" s="107">
        <f t="shared" si="11"/>
        <v>0</v>
      </c>
    </row>
    <row r="212" spans="1:10" ht="12.75">
      <c r="A212" s="13">
        <f t="shared" si="9"/>
        <v>150</v>
      </c>
      <c r="B212" s="54" t="s">
        <v>217</v>
      </c>
      <c r="C212" s="9" t="s">
        <v>30</v>
      </c>
      <c r="D212" s="31">
        <v>44000</v>
      </c>
      <c r="E212" s="31">
        <f t="shared" si="12"/>
        <v>-44000</v>
      </c>
      <c r="F212" s="31">
        <v>90000</v>
      </c>
      <c r="G212" s="31">
        <v>0</v>
      </c>
      <c r="H212" s="31">
        <v>18000</v>
      </c>
      <c r="I212" s="108">
        <f t="shared" si="10"/>
        <v>0</v>
      </c>
      <c r="J212" s="107">
        <f t="shared" si="11"/>
        <v>0</v>
      </c>
    </row>
    <row r="213" spans="1:10" ht="12.75">
      <c r="A213" s="13">
        <f t="shared" si="9"/>
        <v>151</v>
      </c>
      <c r="B213" s="54" t="s">
        <v>218</v>
      </c>
      <c r="C213" s="9" t="s">
        <v>31</v>
      </c>
      <c r="D213" s="31">
        <v>7000</v>
      </c>
      <c r="E213" s="31">
        <f t="shared" si="12"/>
        <v>-7000</v>
      </c>
      <c r="F213" s="31">
        <v>7000</v>
      </c>
      <c r="G213" s="31">
        <v>0</v>
      </c>
      <c r="H213" s="31">
        <v>10700</v>
      </c>
      <c r="I213" s="108">
        <f t="shared" si="10"/>
        <v>0</v>
      </c>
      <c r="J213" s="107">
        <f t="shared" si="11"/>
        <v>0</v>
      </c>
    </row>
    <row r="214" spans="1:10" ht="12.75">
      <c r="A214" s="13">
        <f t="shared" si="9"/>
        <v>152</v>
      </c>
      <c r="B214" s="54" t="s">
        <v>219</v>
      </c>
      <c r="C214" s="9" t="s">
        <v>93</v>
      </c>
      <c r="D214" s="31">
        <v>160000</v>
      </c>
      <c r="E214" s="31">
        <f t="shared" si="12"/>
        <v>-160000</v>
      </c>
      <c r="F214" s="31">
        <v>250000</v>
      </c>
      <c r="G214" s="31">
        <v>0</v>
      </c>
      <c r="H214" s="31">
        <v>160000</v>
      </c>
      <c r="I214" s="108">
        <f t="shared" si="10"/>
        <v>0</v>
      </c>
      <c r="J214" s="107">
        <f t="shared" si="11"/>
        <v>0</v>
      </c>
    </row>
    <row r="215" spans="1:10" ht="12.75">
      <c r="A215" s="13">
        <f t="shared" si="9"/>
        <v>153</v>
      </c>
      <c r="B215" s="54" t="s">
        <v>220</v>
      </c>
      <c r="C215" s="9" t="s">
        <v>138</v>
      </c>
      <c r="D215" s="31">
        <v>145000</v>
      </c>
      <c r="E215" s="31">
        <f t="shared" si="12"/>
        <v>-145000</v>
      </c>
      <c r="F215" s="31">
        <v>145000</v>
      </c>
      <c r="G215" s="31">
        <v>0</v>
      </c>
      <c r="H215" s="31">
        <v>200000</v>
      </c>
      <c r="I215" s="108">
        <f t="shared" si="10"/>
        <v>0</v>
      </c>
      <c r="J215" s="107">
        <f t="shared" si="11"/>
        <v>0</v>
      </c>
    </row>
    <row r="216" spans="1:10" ht="12.75">
      <c r="A216" s="13">
        <f t="shared" si="9"/>
        <v>154</v>
      </c>
      <c r="B216" s="54" t="s">
        <v>221</v>
      </c>
      <c r="C216" s="9" t="s">
        <v>29</v>
      </c>
      <c r="D216" s="31">
        <v>0</v>
      </c>
      <c r="E216" s="31">
        <f t="shared" si="12"/>
        <v>0</v>
      </c>
      <c r="F216" s="31">
        <v>0</v>
      </c>
      <c r="G216" s="31">
        <v>0</v>
      </c>
      <c r="H216" s="31">
        <v>900</v>
      </c>
      <c r="I216" s="108"/>
      <c r="J216" s="107">
        <f t="shared" si="11"/>
        <v>0</v>
      </c>
    </row>
    <row r="217" spans="1:10" ht="12.75">
      <c r="A217" s="13">
        <f t="shared" si="9"/>
        <v>155</v>
      </c>
      <c r="B217" s="54" t="s">
        <v>196</v>
      </c>
      <c r="C217" s="9" t="s">
        <v>77</v>
      </c>
      <c r="D217" s="31">
        <f>SUM(D219:D220)</f>
        <v>6000</v>
      </c>
      <c r="E217" s="31">
        <f>SUM(E219:E220)</f>
        <v>-6000</v>
      </c>
      <c r="F217" s="31">
        <f>SUM(F219:F220)</f>
        <v>5600</v>
      </c>
      <c r="G217" s="31">
        <f>SUM(G219:G220)</f>
        <v>0</v>
      </c>
      <c r="H217" s="31">
        <f>SUM(H219:H220)</f>
        <v>1300</v>
      </c>
      <c r="I217" s="108">
        <f t="shared" si="10"/>
        <v>0</v>
      </c>
      <c r="J217" s="107">
        <f t="shared" si="11"/>
        <v>0</v>
      </c>
    </row>
    <row r="218" spans="1:10" ht="12.75">
      <c r="A218" s="13">
        <f t="shared" si="9"/>
        <v>156</v>
      </c>
      <c r="B218" s="54"/>
      <c r="C218" s="9" t="s">
        <v>11</v>
      </c>
      <c r="D218" s="31"/>
      <c r="E218" s="31"/>
      <c r="F218" s="31"/>
      <c r="G218" s="31"/>
      <c r="H218" s="31"/>
      <c r="I218" s="108"/>
      <c r="J218" s="107"/>
    </row>
    <row r="219" spans="1:10" ht="12.75">
      <c r="A219" s="13">
        <f t="shared" si="9"/>
        <v>157</v>
      </c>
      <c r="B219" s="54"/>
      <c r="C219" s="9" t="s">
        <v>28</v>
      </c>
      <c r="D219" s="31">
        <v>1000</v>
      </c>
      <c r="E219" s="31">
        <f>G219-D219</f>
        <v>-1000</v>
      </c>
      <c r="F219" s="31">
        <v>600</v>
      </c>
      <c r="G219" s="31">
        <v>0</v>
      </c>
      <c r="H219" s="31">
        <v>300</v>
      </c>
      <c r="I219" s="108">
        <f t="shared" si="10"/>
        <v>0</v>
      </c>
      <c r="J219" s="107">
        <f>G219/G$460</f>
        <v>0</v>
      </c>
    </row>
    <row r="220" spans="1:10" ht="12.75">
      <c r="A220" s="13">
        <f t="shared" si="9"/>
        <v>158</v>
      </c>
      <c r="B220" s="54"/>
      <c r="C220" s="9" t="s">
        <v>143</v>
      </c>
      <c r="D220" s="31">
        <v>5000</v>
      </c>
      <c r="E220" s="31">
        <f>G220-D220</f>
        <v>-5000</v>
      </c>
      <c r="F220" s="31">
        <v>5000</v>
      </c>
      <c r="G220" s="31">
        <v>0</v>
      </c>
      <c r="H220" s="31">
        <v>1000</v>
      </c>
      <c r="I220" s="108">
        <f t="shared" si="10"/>
        <v>0</v>
      </c>
      <c r="J220" s="107">
        <f>G220/G$460</f>
        <v>0</v>
      </c>
    </row>
    <row r="221" spans="1:10" ht="12.75">
      <c r="A221" s="13">
        <f t="shared" si="9"/>
        <v>159</v>
      </c>
      <c r="B221" s="54" t="s">
        <v>202</v>
      </c>
      <c r="C221" s="9" t="s">
        <v>84</v>
      </c>
      <c r="D221" s="31"/>
      <c r="E221" s="31"/>
      <c r="F221" s="31"/>
      <c r="G221" s="31"/>
      <c r="H221" s="31"/>
      <c r="I221" s="108"/>
      <c r="J221" s="107"/>
    </row>
    <row r="222" spans="1:10" ht="12.75">
      <c r="A222" s="13">
        <f t="shared" si="9"/>
        <v>160</v>
      </c>
      <c r="B222" s="54"/>
      <c r="C222" s="9" t="s">
        <v>74</v>
      </c>
      <c r="D222" s="31">
        <v>28000</v>
      </c>
      <c r="E222" s="31">
        <f>G222-D222</f>
        <v>-28000</v>
      </c>
      <c r="F222" s="31">
        <v>18000</v>
      </c>
      <c r="G222" s="31">
        <v>0</v>
      </c>
      <c r="H222" s="31">
        <v>27000</v>
      </c>
      <c r="I222" s="108">
        <f t="shared" si="10"/>
        <v>0</v>
      </c>
      <c r="J222" s="107">
        <f>G222/G$460</f>
        <v>0</v>
      </c>
    </row>
    <row r="223" spans="1:10" s="3" customFormat="1" ht="12.75">
      <c r="A223" s="13">
        <f t="shared" si="9"/>
        <v>161</v>
      </c>
      <c r="B223" s="18">
        <v>75618</v>
      </c>
      <c r="C223" s="19" t="s">
        <v>139</v>
      </c>
      <c r="D223" s="25"/>
      <c r="E223" s="25" t="e">
        <f>E225+#REF!</f>
        <v>#REF!</v>
      </c>
      <c r="F223" s="25"/>
      <c r="G223" s="25"/>
      <c r="H223" s="25">
        <f>SUM(H225:H228)</f>
        <v>30200</v>
      </c>
      <c r="I223" s="108"/>
      <c r="J223" s="107"/>
    </row>
    <row r="224" spans="1:10" s="3" customFormat="1" ht="12.75">
      <c r="A224" s="13">
        <f t="shared" si="9"/>
        <v>162</v>
      </c>
      <c r="B224" s="18"/>
      <c r="C224" s="65" t="s">
        <v>181</v>
      </c>
      <c r="D224" s="25">
        <f>D225+D227+D228</f>
        <v>315400</v>
      </c>
      <c r="E224" s="25"/>
      <c r="F224" s="25">
        <f>F225+F227+F228</f>
        <v>340000</v>
      </c>
      <c r="G224" s="25">
        <f>G225+G227+G228</f>
        <v>305000</v>
      </c>
      <c r="H224" s="25"/>
      <c r="I224" s="108">
        <f t="shared" si="10"/>
        <v>0.8970588235294118</v>
      </c>
      <c r="J224" s="116">
        <f>G224/G$460</f>
        <v>0.017922741349691722</v>
      </c>
    </row>
    <row r="225" spans="1:10" ht="12.75">
      <c r="A225" s="13">
        <f t="shared" si="9"/>
        <v>163</v>
      </c>
      <c r="B225" s="54" t="s">
        <v>222</v>
      </c>
      <c r="C225" s="9" t="s">
        <v>94</v>
      </c>
      <c r="D225" s="31">
        <v>30000</v>
      </c>
      <c r="E225" s="31">
        <f>G225-D225</f>
        <v>20000</v>
      </c>
      <c r="F225" s="31">
        <v>40000</v>
      </c>
      <c r="G225" s="31">
        <f>40000+10000</f>
        <v>50000</v>
      </c>
      <c r="H225" s="31">
        <v>30000</v>
      </c>
      <c r="I225" s="108">
        <f t="shared" si="10"/>
        <v>1.25</v>
      </c>
      <c r="J225" s="107">
        <f>G225/G$460</f>
        <v>0.002938154319621594</v>
      </c>
    </row>
    <row r="226" spans="1:10" ht="12.75">
      <c r="A226" s="13">
        <f t="shared" si="9"/>
        <v>164</v>
      </c>
      <c r="B226" s="54" t="s">
        <v>223</v>
      </c>
      <c r="C226" s="9" t="s">
        <v>170</v>
      </c>
      <c r="D226" s="31"/>
      <c r="E226" s="31"/>
      <c r="F226" s="31"/>
      <c r="G226" s="31"/>
      <c r="H226" s="31"/>
      <c r="I226" s="108"/>
      <c r="J226" s="107"/>
    </row>
    <row r="227" spans="1:10" ht="12.75">
      <c r="A227" s="13">
        <f t="shared" si="9"/>
        <v>165</v>
      </c>
      <c r="B227" s="54"/>
      <c r="C227" s="9" t="s">
        <v>171</v>
      </c>
      <c r="D227" s="31">
        <v>284400</v>
      </c>
      <c r="E227" s="31"/>
      <c r="F227" s="31">
        <v>300000</v>
      </c>
      <c r="G227" s="31">
        <v>255000</v>
      </c>
      <c r="H227" s="31"/>
      <c r="I227" s="108">
        <f t="shared" si="10"/>
        <v>0.85</v>
      </c>
      <c r="J227" s="107">
        <f>G227/G$460</f>
        <v>0.01498458703007013</v>
      </c>
    </row>
    <row r="228" spans="1:10" ht="12.75">
      <c r="A228" s="13">
        <f t="shared" si="9"/>
        <v>166</v>
      </c>
      <c r="B228" s="54" t="s">
        <v>202</v>
      </c>
      <c r="C228" s="9" t="s">
        <v>155</v>
      </c>
      <c r="D228" s="31">
        <v>1000</v>
      </c>
      <c r="E228" s="31">
        <f>G228-D228</f>
        <v>-1000</v>
      </c>
      <c r="F228" s="31">
        <v>0</v>
      </c>
      <c r="G228" s="31">
        <v>0</v>
      </c>
      <c r="H228" s="31">
        <v>200</v>
      </c>
      <c r="I228" s="108"/>
      <c r="J228" s="107">
        <f>G228/G$460</f>
        <v>0</v>
      </c>
    </row>
    <row r="229" spans="1:10" s="52" customFormat="1" ht="12.75">
      <c r="A229" s="13">
        <f t="shared" si="9"/>
        <v>167</v>
      </c>
      <c r="B229" s="53">
        <v>75621</v>
      </c>
      <c r="C229" s="50" t="s">
        <v>121</v>
      </c>
      <c r="D229" s="51"/>
      <c r="E229" s="51"/>
      <c r="F229" s="51"/>
      <c r="G229" s="51"/>
      <c r="H229" s="51"/>
      <c r="I229" s="108"/>
      <c r="J229" s="107"/>
    </row>
    <row r="230" spans="1:10" s="52" customFormat="1" ht="12.75">
      <c r="A230" s="13">
        <f t="shared" si="9"/>
        <v>168</v>
      </c>
      <c r="B230" s="58"/>
      <c r="C230" s="50" t="s">
        <v>120</v>
      </c>
      <c r="D230" s="51">
        <f>SUM(D231:D232)</f>
        <v>1386926</v>
      </c>
      <c r="E230" s="51">
        <f>SUM(E231:E232)</f>
        <v>508767</v>
      </c>
      <c r="F230" s="51">
        <f>SUM(F231:F232)</f>
        <v>1150000</v>
      </c>
      <c r="G230" s="51">
        <f>SUM(G231:G232)</f>
        <v>1895693</v>
      </c>
      <c r="H230" s="51">
        <f>SUM(H231:H232)</f>
        <v>1232001</v>
      </c>
      <c r="I230" s="115">
        <f t="shared" si="10"/>
        <v>1.6484286956521739</v>
      </c>
      <c r="J230" s="116">
        <f>G230/G$460</f>
        <v>0.11139677153252836</v>
      </c>
    </row>
    <row r="231" spans="1:10" s="63" customFormat="1" ht="12.75">
      <c r="A231" s="13">
        <f t="shared" si="9"/>
        <v>169</v>
      </c>
      <c r="B231" s="57" t="s">
        <v>224</v>
      </c>
      <c r="C231" s="56" t="s">
        <v>117</v>
      </c>
      <c r="D231" s="62">
        <v>1382926</v>
      </c>
      <c r="E231" s="31">
        <f>G231-D231</f>
        <v>462767</v>
      </c>
      <c r="F231" s="31">
        <v>1100000</v>
      </c>
      <c r="G231" s="62">
        <v>1845693</v>
      </c>
      <c r="H231" s="62">
        <f>1208799+19202</f>
        <v>1228001</v>
      </c>
      <c r="I231" s="108">
        <f t="shared" si="10"/>
        <v>1.6779027272727274</v>
      </c>
      <c r="J231" s="107">
        <f>G231/G$460</f>
        <v>0.10845861721290677</v>
      </c>
    </row>
    <row r="232" spans="1:10" s="63" customFormat="1" ht="12.75">
      <c r="A232" s="13">
        <f t="shared" si="9"/>
        <v>170</v>
      </c>
      <c r="B232" s="57" t="s">
        <v>225</v>
      </c>
      <c r="C232" s="56" t="s">
        <v>118</v>
      </c>
      <c r="D232" s="62">
        <v>4000</v>
      </c>
      <c r="E232" s="31">
        <f>G232-D232</f>
        <v>46000</v>
      </c>
      <c r="F232" s="31">
        <v>50000</v>
      </c>
      <c r="G232" s="62">
        <v>50000</v>
      </c>
      <c r="H232" s="62">
        <v>4000</v>
      </c>
      <c r="I232" s="108">
        <f t="shared" si="10"/>
        <v>1</v>
      </c>
      <c r="J232" s="107">
        <f>G232/G$460</f>
        <v>0.002938154319621594</v>
      </c>
    </row>
    <row r="233" spans="1:10" s="4" customFormat="1" ht="15">
      <c r="A233" s="13">
        <f t="shared" si="9"/>
        <v>171</v>
      </c>
      <c r="B233" s="16">
        <v>758</v>
      </c>
      <c r="C233" s="17" t="s">
        <v>185</v>
      </c>
      <c r="D233" s="24">
        <f>D235+D238+D241+D249+D247</f>
        <v>2658312</v>
      </c>
      <c r="E233" s="24">
        <f>E235+E238+E241+E249</f>
        <v>-463187</v>
      </c>
      <c r="F233" s="24">
        <f>F235+F238+F241+F249+F247</f>
        <v>2641156</v>
      </c>
      <c r="G233" s="24">
        <f>G235+G238+G241+G249+G247</f>
        <v>2626639</v>
      </c>
      <c r="H233" s="24">
        <f>H235+H238+H241+H249</f>
        <v>2564317</v>
      </c>
      <c r="I233" s="115">
        <f t="shared" si="10"/>
        <v>0.9945035431455015</v>
      </c>
      <c r="J233" s="116">
        <f>G233/G$460</f>
        <v>0.15434941447873088</v>
      </c>
    </row>
    <row r="234" spans="1:10" s="3" customFormat="1" ht="12.75">
      <c r="A234" s="13">
        <f t="shared" si="9"/>
        <v>172</v>
      </c>
      <c r="B234" s="22">
        <v>75801</v>
      </c>
      <c r="C234" s="19" t="s">
        <v>60</v>
      </c>
      <c r="D234" s="25"/>
      <c r="E234" s="25"/>
      <c r="F234" s="25"/>
      <c r="G234" s="25"/>
      <c r="H234" s="25"/>
      <c r="I234" s="108"/>
      <c r="J234" s="107"/>
    </row>
    <row r="235" spans="1:10" s="3" customFormat="1" ht="12.75">
      <c r="A235" s="13">
        <f t="shared" si="9"/>
        <v>173</v>
      </c>
      <c r="B235" s="22"/>
      <c r="C235" s="19" t="s">
        <v>61</v>
      </c>
      <c r="D235" s="25">
        <f>D236</f>
        <v>2220084</v>
      </c>
      <c r="E235" s="25">
        <f>E236</f>
        <v>-26905</v>
      </c>
      <c r="F235" s="25">
        <f>F236</f>
        <v>2220084</v>
      </c>
      <c r="G235" s="25">
        <f>G236</f>
        <v>2193179</v>
      </c>
      <c r="H235" s="25">
        <f>H236</f>
        <v>2133508</v>
      </c>
      <c r="I235" s="115">
        <f t="shared" si="10"/>
        <v>0.9878810891840129</v>
      </c>
      <c r="J235" s="116">
        <f>G235/G$460</f>
        <v>0.12887796705106735</v>
      </c>
    </row>
    <row r="236" spans="1:10" s="6" customFormat="1" ht="12.75">
      <c r="A236" s="13">
        <f t="shared" si="9"/>
        <v>174</v>
      </c>
      <c r="B236" s="23">
        <v>2920</v>
      </c>
      <c r="C236" s="13" t="s">
        <v>36</v>
      </c>
      <c r="D236" s="39">
        <v>2220084</v>
      </c>
      <c r="E236" s="31">
        <f>G236-D236</f>
        <v>-26905</v>
      </c>
      <c r="F236" s="31">
        <v>2220084</v>
      </c>
      <c r="G236" s="39">
        <v>2193179</v>
      </c>
      <c r="H236" s="39">
        <f>2156952-23444</f>
        <v>2133508</v>
      </c>
      <c r="I236" s="108">
        <f t="shared" si="10"/>
        <v>0.9878810891840129</v>
      </c>
      <c r="J236" s="107">
        <f>G236/G$460</f>
        <v>0.12887796705106735</v>
      </c>
    </row>
    <row r="237" spans="1:10" s="3" customFormat="1" ht="12.75">
      <c r="A237" s="13">
        <f t="shared" si="9"/>
        <v>175</v>
      </c>
      <c r="B237" s="18">
        <v>75802</v>
      </c>
      <c r="C237" s="27" t="s">
        <v>64</v>
      </c>
      <c r="D237" s="25"/>
      <c r="E237" s="25"/>
      <c r="F237" s="25"/>
      <c r="G237" s="25"/>
      <c r="H237" s="25"/>
      <c r="I237" s="108"/>
      <c r="J237" s="107"/>
    </row>
    <row r="238" spans="1:10" s="3" customFormat="1" ht="12.75">
      <c r="A238" s="13">
        <f t="shared" si="9"/>
        <v>176</v>
      </c>
      <c r="B238" s="18"/>
      <c r="C238" s="27" t="s">
        <v>65</v>
      </c>
      <c r="D238" s="25">
        <f>D239</f>
        <v>4305</v>
      </c>
      <c r="E238" s="25">
        <f>E239</f>
        <v>-4305</v>
      </c>
      <c r="F238" s="25">
        <f>F239</f>
        <v>4305</v>
      </c>
      <c r="G238" s="25">
        <f>G239</f>
        <v>0</v>
      </c>
      <c r="H238" s="25">
        <f>H239</f>
        <v>2948</v>
      </c>
      <c r="I238" s="115">
        <f t="shared" si="10"/>
        <v>0</v>
      </c>
      <c r="J238" s="116">
        <f>G238/G$460</f>
        <v>0</v>
      </c>
    </row>
    <row r="239" spans="1:10" ht="12.75">
      <c r="A239" s="13">
        <f t="shared" si="9"/>
        <v>177</v>
      </c>
      <c r="B239" s="9">
        <v>2920</v>
      </c>
      <c r="C239" s="13" t="s">
        <v>36</v>
      </c>
      <c r="D239" s="31">
        <v>4305</v>
      </c>
      <c r="E239" s="31">
        <f>G239-D239</f>
        <v>-4305</v>
      </c>
      <c r="F239" s="31">
        <v>4305</v>
      </c>
      <c r="G239" s="31">
        <v>0</v>
      </c>
      <c r="H239" s="31">
        <f>6663-3715</f>
        <v>2948</v>
      </c>
      <c r="I239" s="108">
        <f t="shared" si="10"/>
        <v>0</v>
      </c>
      <c r="J239" s="107">
        <f>G239/G$460</f>
        <v>0</v>
      </c>
    </row>
    <row r="240" spans="1:10" s="3" customFormat="1" ht="12.75">
      <c r="A240" s="13">
        <f t="shared" si="9"/>
        <v>178</v>
      </c>
      <c r="B240" s="22">
        <v>75805</v>
      </c>
      <c r="C240" s="19" t="s">
        <v>62</v>
      </c>
      <c r="D240" s="25"/>
      <c r="E240" s="25"/>
      <c r="F240" s="25"/>
      <c r="G240" s="25"/>
      <c r="H240" s="25"/>
      <c r="I240" s="108"/>
      <c r="J240" s="107"/>
    </row>
    <row r="241" spans="1:10" s="3" customFormat="1" ht="12.75">
      <c r="A241" s="13">
        <f t="shared" si="9"/>
        <v>179</v>
      </c>
      <c r="B241" s="22"/>
      <c r="C241" s="19" t="s">
        <v>63</v>
      </c>
      <c r="D241" s="25">
        <f>D242</f>
        <v>433923</v>
      </c>
      <c r="E241" s="25">
        <f>E242</f>
        <v>-431977</v>
      </c>
      <c r="F241" s="25">
        <f>F242</f>
        <v>431978</v>
      </c>
      <c r="G241" s="25">
        <f>G242</f>
        <v>1946</v>
      </c>
      <c r="H241" s="25">
        <f>H242</f>
        <v>427861</v>
      </c>
      <c r="I241" s="113">
        <f t="shared" si="10"/>
        <v>0.004504859043747598</v>
      </c>
      <c r="J241" s="114">
        <f>G241/G$460</f>
        <v>0.00011435296611967244</v>
      </c>
    </row>
    <row r="242" spans="1:10" s="6" customFormat="1" ht="12.75">
      <c r="A242" s="13">
        <f t="shared" si="9"/>
        <v>180</v>
      </c>
      <c r="B242" s="23">
        <v>2920</v>
      </c>
      <c r="C242" s="13" t="s">
        <v>36</v>
      </c>
      <c r="D242" s="39">
        <f>SUM(D244:D245)</f>
        <v>433923</v>
      </c>
      <c r="E242" s="39">
        <f>SUM(E244:E245)</f>
        <v>-431977</v>
      </c>
      <c r="F242" s="39">
        <f>SUM(F244:F245)</f>
        <v>431978</v>
      </c>
      <c r="G242" s="39">
        <f>SUM(G244:G245)</f>
        <v>1946</v>
      </c>
      <c r="H242" s="39">
        <f>SUM(H244:H245)</f>
        <v>427861</v>
      </c>
      <c r="I242" s="108">
        <f t="shared" si="10"/>
        <v>0.004504859043747598</v>
      </c>
      <c r="J242" s="107">
        <f>G242/G$460</f>
        <v>0.00011435296611967244</v>
      </c>
    </row>
    <row r="243" spans="1:10" s="63" customFormat="1" ht="12.75">
      <c r="A243" s="13">
        <f t="shared" si="9"/>
        <v>181</v>
      </c>
      <c r="B243" s="67"/>
      <c r="C243" s="55" t="s">
        <v>11</v>
      </c>
      <c r="D243" s="62"/>
      <c r="E243" s="62"/>
      <c r="F243" s="62"/>
      <c r="G243" s="62"/>
      <c r="H243" s="62"/>
      <c r="I243" s="108"/>
      <c r="J243" s="107"/>
    </row>
    <row r="244" spans="1:10" s="63" customFormat="1" ht="12.75">
      <c r="A244" s="13">
        <f t="shared" si="9"/>
        <v>182</v>
      </c>
      <c r="B244" s="67"/>
      <c r="C244" s="55" t="s">
        <v>123</v>
      </c>
      <c r="D244" s="62">
        <v>426127</v>
      </c>
      <c r="E244" s="31">
        <f>G244-D244</f>
        <v>-426127</v>
      </c>
      <c r="F244" s="31">
        <v>426127</v>
      </c>
      <c r="G244" s="62">
        <v>0</v>
      </c>
      <c r="H244" s="62">
        <f>433682-8658</f>
        <v>425024</v>
      </c>
      <c r="I244" s="108">
        <f t="shared" si="10"/>
        <v>0</v>
      </c>
      <c r="J244" s="107">
        <f>G244/G$460</f>
        <v>0</v>
      </c>
    </row>
    <row r="245" spans="1:10" ht="12.75">
      <c r="A245" s="13">
        <f t="shared" si="9"/>
        <v>183</v>
      </c>
      <c r="B245" s="9"/>
      <c r="C245" s="13" t="s">
        <v>124</v>
      </c>
      <c r="D245" s="31">
        <v>7796</v>
      </c>
      <c r="E245" s="31">
        <f>G245-D245</f>
        <v>-5850</v>
      </c>
      <c r="F245" s="31">
        <v>5851</v>
      </c>
      <c r="G245" s="31">
        <v>1946</v>
      </c>
      <c r="H245" s="31">
        <v>2837</v>
      </c>
      <c r="I245" s="108">
        <f t="shared" si="10"/>
        <v>0.3325927191933003</v>
      </c>
      <c r="J245" s="107">
        <f>G245/G$460</f>
        <v>0.00011435296611967244</v>
      </c>
    </row>
    <row r="246" spans="1:10" s="52" customFormat="1" ht="12.75">
      <c r="A246" s="13">
        <f t="shared" si="9"/>
        <v>184</v>
      </c>
      <c r="B246" s="53">
        <v>75807</v>
      </c>
      <c r="C246" s="65" t="s">
        <v>199</v>
      </c>
      <c r="D246" s="51"/>
      <c r="E246" s="51"/>
      <c r="F246" s="51"/>
      <c r="G246" s="51"/>
      <c r="H246" s="51"/>
      <c r="I246" s="115"/>
      <c r="J246" s="116"/>
    </row>
    <row r="247" spans="1:10" ht="12.75">
      <c r="A247" s="13">
        <f t="shared" si="9"/>
        <v>185</v>
      </c>
      <c r="B247" s="9"/>
      <c r="C247" s="50" t="s">
        <v>65</v>
      </c>
      <c r="D247" s="51">
        <f>D248</f>
        <v>0</v>
      </c>
      <c r="E247" s="51"/>
      <c r="F247" s="51">
        <f>F248</f>
        <v>0</v>
      </c>
      <c r="G247" s="51">
        <f>G248</f>
        <v>431514</v>
      </c>
      <c r="H247" s="51"/>
      <c r="I247" s="115"/>
      <c r="J247" s="116">
        <f>G247/G$460</f>
        <v>0.02535709446154385</v>
      </c>
    </row>
    <row r="248" spans="1:10" ht="12.75">
      <c r="A248" s="13">
        <f t="shared" si="9"/>
        <v>186</v>
      </c>
      <c r="B248" s="9">
        <v>2920</v>
      </c>
      <c r="C248" s="13" t="s">
        <v>36</v>
      </c>
      <c r="D248" s="31">
        <v>0</v>
      </c>
      <c r="E248" s="31"/>
      <c r="F248" s="31">
        <v>0</v>
      </c>
      <c r="G248" s="31">
        <v>431514</v>
      </c>
      <c r="H248" s="31"/>
      <c r="I248" s="108"/>
      <c r="J248" s="107">
        <f>G248/G$460</f>
        <v>0.02535709446154385</v>
      </c>
    </row>
    <row r="249" spans="1:10" s="3" customFormat="1" ht="12.75">
      <c r="A249" s="13">
        <f t="shared" si="9"/>
        <v>187</v>
      </c>
      <c r="B249" s="22">
        <v>75814</v>
      </c>
      <c r="C249" s="19" t="s">
        <v>37</v>
      </c>
      <c r="D249" s="25">
        <f>SUM(D252:D257)</f>
        <v>0</v>
      </c>
      <c r="E249" s="25">
        <f>SUM(E252:E257)</f>
        <v>0</v>
      </c>
      <c r="F249" s="25">
        <f>SUM(F252:F257)</f>
        <v>-15211</v>
      </c>
      <c r="G249" s="25">
        <f>SUM(G252:G257)</f>
        <v>0</v>
      </c>
      <c r="H249" s="25">
        <f>SUM(H252:H257)</f>
        <v>0</v>
      </c>
      <c r="I249" s="115">
        <f t="shared" si="10"/>
        <v>0</v>
      </c>
      <c r="J249" s="116"/>
    </row>
    <row r="250" spans="1:10" s="63" customFormat="1" ht="12.75">
      <c r="A250" s="13">
        <f t="shared" si="9"/>
        <v>188</v>
      </c>
      <c r="B250" s="54" t="s">
        <v>212</v>
      </c>
      <c r="C250" s="9" t="s">
        <v>91</v>
      </c>
      <c r="D250" s="62"/>
      <c r="E250" s="62"/>
      <c r="F250" s="62"/>
      <c r="G250" s="62"/>
      <c r="H250" s="62"/>
      <c r="I250" s="108"/>
      <c r="J250" s="107"/>
    </row>
    <row r="251" spans="1:10" s="63" customFormat="1" ht="12.75">
      <c r="A251" s="13">
        <f t="shared" si="9"/>
        <v>189</v>
      </c>
      <c r="B251" s="54"/>
      <c r="C251" s="9" t="s">
        <v>119</v>
      </c>
      <c r="D251" s="62"/>
      <c r="E251" s="62"/>
      <c r="F251" s="62"/>
      <c r="G251" s="62"/>
      <c r="H251" s="62"/>
      <c r="I251" s="108"/>
      <c r="J251" s="107"/>
    </row>
    <row r="252" spans="1:10" s="63" customFormat="1" ht="12.75">
      <c r="A252" s="13">
        <f t="shared" si="9"/>
        <v>190</v>
      </c>
      <c r="B252" s="54"/>
      <c r="C252" s="9" t="s">
        <v>92</v>
      </c>
      <c r="D252" s="62">
        <v>0</v>
      </c>
      <c r="E252" s="62">
        <v>0</v>
      </c>
      <c r="F252" s="62">
        <v>-634</v>
      </c>
      <c r="G252" s="62">
        <v>0</v>
      </c>
      <c r="H252" s="62">
        <v>0</v>
      </c>
      <c r="I252" s="108">
        <f t="shared" si="10"/>
        <v>0</v>
      </c>
      <c r="J252" s="107"/>
    </row>
    <row r="253" spans="1:10" s="63" customFormat="1" ht="12.75">
      <c r="A253" s="13">
        <f t="shared" si="9"/>
        <v>191</v>
      </c>
      <c r="B253" s="57" t="s">
        <v>217</v>
      </c>
      <c r="C253" s="9" t="s">
        <v>30</v>
      </c>
      <c r="D253" s="62">
        <v>0</v>
      </c>
      <c r="E253" s="62">
        <v>0</v>
      </c>
      <c r="F253" s="62">
        <v>-14206</v>
      </c>
      <c r="G253" s="62">
        <v>0</v>
      </c>
      <c r="H253" s="62">
        <v>0</v>
      </c>
      <c r="I253" s="108">
        <f t="shared" si="10"/>
        <v>0</v>
      </c>
      <c r="J253" s="107"/>
    </row>
    <row r="254" spans="1:10" s="63" customFormat="1" ht="12.75">
      <c r="A254" s="13">
        <f t="shared" si="9"/>
        <v>192</v>
      </c>
      <c r="B254" s="57" t="s">
        <v>222</v>
      </c>
      <c r="C254" s="56" t="s">
        <v>94</v>
      </c>
      <c r="D254" s="62">
        <v>0</v>
      </c>
      <c r="E254" s="62">
        <v>0</v>
      </c>
      <c r="F254" s="62">
        <v>0</v>
      </c>
      <c r="G254" s="62">
        <v>0</v>
      </c>
      <c r="H254" s="62">
        <v>0</v>
      </c>
      <c r="I254" s="108"/>
      <c r="J254" s="107"/>
    </row>
    <row r="255" spans="1:10" s="63" customFormat="1" ht="12.75">
      <c r="A255" s="13">
        <f t="shared" si="9"/>
        <v>193</v>
      </c>
      <c r="B255" s="57" t="s">
        <v>220</v>
      </c>
      <c r="C255" s="56" t="s">
        <v>138</v>
      </c>
      <c r="D255" s="62">
        <v>0</v>
      </c>
      <c r="E255" s="62"/>
      <c r="F255" s="62">
        <v>-67</v>
      </c>
      <c r="G255" s="62">
        <v>0</v>
      </c>
      <c r="H255" s="62"/>
      <c r="I255" s="108">
        <f t="shared" si="10"/>
        <v>0</v>
      </c>
      <c r="J255" s="107"/>
    </row>
    <row r="256" spans="1:10" s="63" customFormat="1" ht="12.75">
      <c r="A256" s="13">
        <f t="shared" si="9"/>
        <v>194</v>
      </c>
      <c r="B256" s="57" t="s">
        <v>202</v>
      </c>
      <c r="C256" s="9" t="s">
        <v>84</v>
      </c>
      <c r="D256" s="62"/>
      <c r="E256" s="62"/>
      <c r="F256" s="62"/>
      <c r="G256" s="62"/>
      <c r="H256" s="62"/>
      <c r="I256" s="108"/>
      <c r="J256" s="107"/>
    </row>
    <row r="257" spans="1:10" s="63" customFormat="1" ht="12.75">
      <c r="A257" s="13">
        <f t="shared" si="9"/>
        <v>195</v>
      </c>
      <c r="B257" s="57"/>
      <c r="C257" s="9" t="s">
        <v>74</v>
      </c>
      <c r="D257" s="62">
        <v>0</v>
      </c>
      <c r="E257" s="62">
        <v>0</v>
      </c>
      <c r="F257" s="62">
        <v>-304</v>
      </c>
      <c r="G257" s="62">
        <v>0</v>
      </c>
      <c r="H257" s="62">
        <v>0</v>
      </c>
      <c r="I257" s="108">
        <f>G257/F257</f>
        <v>0</v>
      </c>
      <c r="J257" s="107"/>
    </row>
    <row r="258" spans="1:10" s="4" customFormat="1" ht="15">
      <c r="A258" s="13">
        <f t="shared" si="9"/>
        <v>196</v>
      </c>
      <c r="B258" s="16">
        <v>801</v>
      </c>
      <c r="C258" s="20" t="s">
        <v>17</v>
      </c>
      <c r="D258" s="24">
        <f>D259+D292+D303+D283</f>
        <v>278058</v>
      </c>
      <c r="E258" s="24">
        <f>E259+E292+E303</f>
        <v>-21680</v>
      </c>
      <c r="F258" s="24">
        <f>F259+F292+F303+F283</f>
        <v>278533</v>
      </c>
      <c r="G258" s="24">
        <f>G259+G292+G303+G283</f>
        <v>431280</v>
      </c>
      <c r="H258" s="24" t="e">
        <f>H259+#REF!+H292+H303</f>
        <v>#REF!</v>
      </c>
      <c r="I258" s="113">
        <f>G258/F258</f>
        <v>1.5483982149332396</v>
      </c>
      <c r="J258" s="114">
        <f>G258/G$460</f>
        <v>0.02534334389932802</v>
      </c>
    </row>
    <row r="259" spans="1:10" s="3" customFormat="1" ht="12.75">
      <c r="A259" s="13">
        <f t="shared" si="9"/>
        <v>197</v>
      </c>
      <c r="B259" s="18">
        <v>80101</v>
      </c>
      <c r="C259" s="19" t="s">
        <v>18</v>
      </c>
      <c r="D259" s="25">
        <f>D260+D264+D268+D272+D274+D275+D279+D282</f>
        <v>154853</v>
      </c>
      <c r="E259" s="25">
        <f>E260+E264+E268+E272+E274+E275</f>
        <v>0</v>
      </c>
      <c r="F259" s="25">
        <f>F260+F264+F268+F272+F274+F275+F279+F282</f>
        <v>154153</v>
      </c>
      <c r="G259" s="25">
        <f>G260+G264+G268+G272+G274+G275+G279+G282</f>
        <v>153580</v>
      </c>
      <c r="H259" s="25">
        <f>H260+H264+H268+H272+H274+H275</f>
        <v>130300</v>
      </c>
      <c r="I259" s="115">
        <f>G259/F259</f>
        <v>0.9962829137285684</v>
      </c>
      <c r="J259" s="116">
        <f>G259/G$460</f>
        <v>0.009024834808149688</v>
      </c>
    </row>
    <row r="260" spans="1:10" s="63" customFormat="1" ht="12.75">
      <c r="A260" s="13">
        <f aca="true" t="shared" si="13" ref="A260:A335">A259+1</f>
        <v>198</v>
      </c>
      <c r="B260" s="57" t="s">
        <v>196</v>
      </c>
      <c r="C260" s="56" t="s">
        <v>77</v>
      </c>
      <c r="D260" s="62">
        <v>300</v>
      </c>
      <c r="E260" s="62">
        <v>0</v>
      </c>
      <c r="F260" s="62">
        <v>100</v>
      </c>
      <c r="G260" s="62">
        <v>200</v>
      </c>
      <c r="H260" s="62">
        <v>100</v>
      </c>
      <c r="I260" s="108">
        <f>G260/F260</f>
        <v>2</v>
      </c>
      <c r="J260" s="107">
        <f>G260/G$460</f>
        <v>1.1752617278486376E-05</v>
      </c>
    </row>
    <row r="261" spans="1:10" ht="12.75">
      <c r="A261" s="13">
        <f t="shared" si="13"/>
        <v>199</v>
      </c>
      <c r="B261" s="54" t="s">
        <v>204</v>
      </c>
      <c r="C261" s="9" t="s">
        <v>75</v>
      </c>
      <c r="D261" s="31"/>
      <c r="E261" s="31"/>
      <c r="F261" s="31"/>
      <c r="G261" s="31"/>
      <c r="H261" s="31"/>
      <c r="I261" s="108"/>
      <c r="J261" s="107"/>
    </row>
    <row r="262" spans="1:10" ht="12.75">
      <c r="A262" s="13">
        <f t="shared" si="13"/>
        <v>200</v>
      </c>
      <c r="B262" s="54"/>
      <c r="C262" s="55" t="s">
        <v>176</v>
      </c>
      <c r="D262" s="31"/>
      <c r="E262" s="31"/>
      <c r="F262" s="31"/>
      <c r="G262" s="31"/>
      <c r="H262" s="31"/>
      <c r="I262" s="108"/>
      <c r="J262" s="107"/>
    </row>
    <row r="263" spans="1:10" ht="12.75">
      <c r="A263" s="13">
        <f t="shared" si="13"/>
        <v>201</v>
      </c>
      <c r="B263" s="54"/>
      <c r="C263" s="9" t="s">
        <v>177</v>
      </c>
      <c r="D263" s="31"/>
      <c r="E263" s="31"/>
      <c r="F263" s="31"/>
      <c r="G263" s="31"/>
      <c r="H263" s="31"/>
      <c r="I263" s="108"/>
      <c r="J263" s="107"/>
    </row>
    <row r="264" spans="1:10" ht="12.75">
      <c r="A264" s="13">
        <f t="shared" si="13"/>
        <v>202</v>
      </c>
      <c r="B264" s="54"/>
      <c r="C264" s="9" t="s">
        <v>178</v>
      </c>
      <c r="D264" s="31">
        <f>SUM(D266:D267)</f>
        <v>18030</v>
      </c>
      <c r="E264" s="31">
        <f>SUM(E266:E267)</f>
        <v>0</v>
      </c>
      <c r="F264" s="31">
        <f>SUM(F266:F267)</f>
        <v>18030</v>
      </c>
      <c r="G264" s="31">
        <f>SUM(G266:G267)</f>
        <v>21900</v>
      </c>
      <c r="H264" s="31">
        <f>SUM(H266:H267)</f>
        <v>13400</v>
      </c>
      <c r="I264" s="108">
        <f>G264/F264</f>
        <v>1.2146422628951747</v>
      </c>
      <c r="J264" s="107">
        <f>G264/G$460</f>
        <v>0.001286911591994258</v>
      </c>
    </row>
    <row r="265" spans="1:10" ht="12.75">
      <c r="A265" s="13">
        <f t="shared" si="13"/>
        <v>203</v>
      </c>
      <c r="B265" s="9"/>
      <c r="C265" s="9" t="s">
        <v>11</v>
      </c>
      <c r="D265" s="31"/>
      <c r="E265" s="31"/>
      <c r="F265" s="31"/>
      <c r="G265" s="31"/>
      <c r="H265" s="31"/>
      <c r="I265" s="108"/>
      <c r="J265" s="107"/>
    </row>
    <row r="266" spans="1:10" ht="12.75">
      <c r="A266" s="13">
        <f t="shared" si="13"/>
        <v>204</v>
      </c>
      <c r="B266" s="9"/>
      <c r="C266" s="9" t="s">
        <v>108</v>
      </c>
      <c r="D266" s="31">
        <v>10830</v>
      </c>
      <c r="E266" s="62">
        <v>0</v>
      </c>
      <c r="F266" s="62">
        <v>10830</v>
      </c>
      <c r="G266" s="31">
        <v>11000</v>
      </c>
      <c r="H266" s="31">
        <v>6300</v>
      </c>
      <c r="I266" s="108">
        <f>G266/F266</f>
        <v>1.0156971375807942</v>
      </c>
      <c r="J266" s="107">
        <f>G266/G$460</f>
        <v>0.0006463939503167506</v>
      </c>
    </row>
    <row r="267" spans="1:10" ht="12.75">
      <c r="A267" s="13">
        <f t="shared" si="13"/>
        <v>205</v>
      </c>
      <c r="B267" s="9"/>
      <c r="C267" s="9" t="s">
        <v>109</v>
      </c>
      <c r="D267" s="31">
        <v>7200</v>
      </c>
      <c r="E267" s="62">
        <v>0</v>
      </c>
      <c r="F267" s="62">
        <v>7200</v>
      </c>
      <c r="G267" s="31">
        <v>10900</v>
      </c>
      <c r="H267" s="31">
        <v>7100</v>
      </c>
      <c r="I267" s="108">
        <f>G267/F267</f>
        <v>1.5138888888888888</v>
      </c>
      <c r="J267" s="107">
        <f>G267/G$460</f>
        <v>0.0006405176416775075</v>
      </c>
    </row>
    <row r="268" spans="1:10" ht="12.75">
      <c r="A268" s="13">
        <f t="shared" si="13"/>
        <v>206</v>
      </c>
      <c r="B268" s="54" t="s">
        <v>207</v>
      </c>
      <c r="C268" s="9" t="s">
        <v>13</v>
      </c>
      <c r="D268" s="31">
        <f>SUM(D270:D271)</f>
        <v>134140</v>
      </c>
      <c r="E268" s="31">
        <f>SUM(E270:E271)</f>
        <v>0</v>
      </c>
      <c r="F268" s="31">
        <f>SUM(F270:F271)</f>
        <v>134140</v>
      </c>
      <c r="G268" s="31">
        <f>SUM(G270:G271)</f>
        <v>130480</v>
      </c>
      <c r="H268" s="31">
        <f>SUM(H270:H271)</f>
        <v>115800</v>
      </c>
      <c r="I268" s="108">
        <f>G268/F268</f>
        <v>0.9727150738034889</v>
      </c>
      <c r="J268" s="107">
        <f>G268/G$460</f>
        <v>0.007667407512484512</v>
      </c>
    </row>
    <row r="269" spans="1:10" ht="12.75">
      <c r="A269" s="13">
        <f t="shared" si="13"/>
        <v>207</v>
      </c>
      <c r="B269" s="54"/>
      <c r="C269" s="9" t="s">
        <v>11</v>
      </c>
      <c r="D269" s="31"/>
      <c r="E269" s="31"/>
      <c r="F269" s="31"/>
      <c r="G269" s="31"/>
      <c r="H269" s="31"/>
      <c r="I269" s="108"/>
      <c r="J269" s="107"/>
    </row>
    <row r="270" spans="1:10" ht="12.75">
      <c r="A270" s="13">
        <f t="shared" si="13"/>
        <v>208</v>
      </c>
      <c r="B270" s="54"/>
      <c r="C270" s="9" t="s">
        <v>108</v>
      </c>
      <c r="D270" s="31">
        <v>94000</v>
      </c>
      <c r="E270" s="62">
        <v>0</v>
      </c>
      <c r="F270" s="62">
        <v>94000</v>
      </c>
      <c r="G270" s="31">
        <f>9500+84800</f>
        <v>94300</v>
      </c>
      <c r="H270" s="31">
        <v>77100</v>
      </c>
      <c r="I270" s="108">
        <f>G270/F270</f>
        <v>1.0031914893617022</v>
      </c>
      <c r="J270" s="107">
        <f>G270/G$460</f>
        <v>0.005541359046806326</v>
      </c>
    </row>
    <row r="271" spans="1:10" ht="12.75">
      <c r="A271" s="13">
        <f t="shared" si="13"/>
        <v>209</v>
      </c>
      <c r="B271" s="54"/>
      <c r="C271" s="9" t="s">
        <v>109</v>
      </c>
      <c r="D271" s="31">
        <v>40140</v>
      </c>
      <c r="E271" s="62">
        <v>0</v>
      </c>
      <c r="F271" s="62">
        <v>40140</v>
      </c>
      <c r="G271" s="31">
        <v>36180</v>
      </c>
      <c r="H271" s="31">
        <v>38700</v>
      </c>
      <c r="I271" s="108">
        <f>G271/F271</f>
        <v>0.9013452914798207</v>
      </c>
      <c r="J271" s="107">
        <f>G271/G$460</f>
        <v>0.0021260484656781854</v>
      </c>
    </row>
    <row r="272" spans="1:10" ht="12.75">
      <c r="A272" s="13">
        <f t="shared" si="13"/>
        <v>210</v>
      </c>
      <c r="B272" s="54" t="s">
        <v>209</v>
      </c>
      <c r="C272" s="9" t="s">
        <v>90</v>
      </c>
      <c r="D272" s="31">
        <v>500</v>
      </c>
      <c r="E272" s="62">
        <v>0</v>
      </c>
      <c r="F272" s="62">
        <v>0</v>
      </c>
      <c r="G272" s="31">
        <v>500</v>
      </c>
      <c r="H272" s="31">
        <v>1000</v>
      </c>
      <c r="I272" s="108"/>
      <c r="J272" s="107">
        <f>G272/G$460</f>
        <v>2.938154319621594E-05</v>
      </c>
    </row>
    <row r="273" spans="1:10" ht="12.75">
      <c r="A273" s="13">
        <f t="shared" si="13"/>
        <v>211</v>
      </c>
      <c r="B273" s="54" t="s">
        <v>226</v>
      </c>
      <c r="C273" s="9" t="s">
        <v>95</v>
      </c>
      <c r="D273" s="31"/>
      <c r="E273" s="31"/>
      <c r="F273" s="31"/>
      <c r="G273" s="31"/>
      <c r="H273" s="31"/>
      <c r="I273" s="108"/>
      <c r="J273" s="107"/>
    </row>
    <row r="274" spans="1:10" ht="12.75">
      <c r="A274" s="13">
        <f t="shared" si="13"/>
        <v>212</v>
      </c>
      <c r="B274" s="54"/>
      <c r="C274" s="9" t="s">
        <v>96</v>
      </c>
      <c r="D274" s="31">
        <v>0</v>
      </c>
      <c r="E274" s="62">
        <v>0</v>
      </c>
      <c r="F274" s="62">
        <v>0</v>
      </c>
      <c r="G274" s="31">
        <v>0</v>
      </c>
      <c r="H274" s="31">
        <v>0</v>
      </c>
      <c r="I274" s="108"/>
      <c r="J274" s="107"/>
    </row>
    <row r="275" spans="1:10" ht="12.75">
      <c r="A275" s="13">
        <f t="shared" si="13"/>
        <v>213</v>
      </c>
      <c r="B275" s="54" t="s">
        <v>200</v>
      </c>
      <c r="C275" s="9" t="s">
        <v>72</v>
      </c>
      <c r="D275" s="31">
        <v>500</v>
      </c>
      <c r="E275" s="62">
        <v>0</v>
      </c>
      <c r="F275" s="62">
        <v>500</v>
      </c>
      <c r="G275" s="31">
        <v>500</v>
      </c>
      <c r="H275" s="31">
        <v>0</v>
      </c>
      <c r="I275" s="108">
        <f>G275/F275</f>
        <v>1</v>
      </c>
      <c r="J275" s="107">
        <f>G275/G$460</f>
        <v>2.938154319621594E-05</v>
      </c>
    </row>
    <row r="276" spans="1:10" ht="12.75">
      <c r="A276" s="13">
        <f t="shared" si="13"/>
        <v>214</v>
      </c>
      <c r="B276" s="54">
        <v>2010</v>
      </c>
      <c r="C276" s="9" t="s">
        <v>102</v>
      </c>
      <c r="D276" s="31"/>
      <c r="E276" s="62"/>
      <c r="F276" s="62"/>
      <c r="G276" s="31"/>
      <c r="H276" s="31"/>
      <c r="I276" s="108"/>
      <c r="J276" s="107"/>
    </row>
    <row r="277" spans="1:10" ht="12.75">
      <c r="A277" s="13">
        <f t="shared" si="13"/>
        <v>215</v>
      </c>
      <c r="B277" s="54"/>
      <c r="C277" s="9" t="s">
        <v>103</v>
      </c>
      <c r="D277" s="31"/>
      <c r="E277" s="62"/>
      <c r="F277" s="62"/>
      <c r="G277" s="31"/>
      <c r="H277" s="31"/>
      <c r="I277" s="108"/>
      <c r="J277" s="107"/>
    </row>
    <row r="278" spans="1:10" ht="12.75">
      <c r="A278" s="13">
        <f t="shared" si="13"/>
        <v>216</v>
      </c>
      <c r="B278" s="54"/>
      <c r="C278" s="9" t="s">
        <v>115</v>
      </c>
      <c r="D278" s="31"/>
      <c r="E278" s="62"/>
      <c r="F278" s="62"/>
      <c r="G278" s="31"/>
      <c r="H278" s="31"/>
      <c r="I278" s="108"/>
      <c r="J278" s="107"/>
    </row>
    <row r="279" spans="1:10" ht="12.75">
      <c r="A279" s="13">
        <f t="shared" si="13"/>
        <v>217</v>
      </c>
      <c r="B279" s="54"/>
      <c r="C279" s="9" t="s">
        <v>104</v>
      </c>
      <c r="D279" s="31">
        <v>1383</v>
      </c>
      <c r="E279" s="62"/>
      <c r="F279" s="62">
        <v>1383</v>
      </c>
      <c r="G279" s="31">
        <v>0</v>
      </c>
      <c r="H279" s="31"/>
      <c r="I279" s="108">
        <f>G279/F279</f>
        <v>0</v>
      </c>
      <c r="J279" s="107">
        <f>G279/G$460</f>
        <v>0</v>
      </c>
    </row>
    <row r="280" spans="1:10" ht="12.75">
      <c r="A280" s="13">
        <f t="shared" si="13"/>
        <v>218</v>
      </c>
      <c r="B280" s="57">
        <v>2030</v>
      </c>
      <c r="C280" s="56" t="s">
        <v>102</v>
      </c>
      <c r="D280" s="31"/>
      <c r="E280" s="62"/>
      <c r="F280" s="62"/>
      <c r="G280" s="31"/>
      <c r="H280" s="31"/>
      <c r="I280" s="108"/>
      <c r="J280" s="107"/>
    </row>
    <row r="281" spans="1:10" ht="12.75">
      <c r="A281" s="13">
        <f t="shared" si="13"/>
        <v>219</v>
      </c>
      <c r="B281" s="57"/>
      <c r="C281" s="56" t="s">
        <v>229</v>
      </c>
      <c r="D281" s="31"/>
      <c r="E281" s="62"/>
      <c r="F281" s="62"/>
      <c r="G281" s="31"/>
      <c r="H281" s="31"/>
      <c r="I281" s="108"/>
      <c r="J281" s="107"/>
    </row>
    <row r="282" spans="1:10" ht="12.75">
      <c r="A282" s="13">
        <f t="shared" si="13"/>
        <v>220</v>
      </c>
      <c r="B282" s="57"/>
      <c r="C282" s="56" t="s">
        <v>174</v>
      </c>
      <c r="D282" s="31">
        <v>0</v>
      </c>
      <c r="E282" s="62"/>
      <c r="F282" s="62">
        <v>0</v>
      </c>
      <c r="G282" s="31">
        <v>0</v>
      </c>
      <c r="H282" s="31"/>
      <c r="I282" s="108"/>
      <c r="J282" s="107"/>
    </row>
    <row r="283" spans="1:10" ht="12.75">
      <c r="A283" s="13">
        <f t="shared" si="13"/>
        <v>221</v>
      </c>
      <c r="B283" s="22">
        <v>80104</v>
      </c>
      <c r="C283" s="19" t="s">
        <v>140</v>
      </c>
      <c r="D283" s="31">
        <f>SUM(D284:D291)</f>
        <v>0</v>
      </c>
      <c r="E283" s="31">
        <f>SUM(E284:E291)</f>
        <v>0</v>
      </c>
      <c r="F283" s="31">
        <f>SUM(F284:F291)</f>
        <v>0</v>
      </c>
      <c r="G283" s="51">
        <f>SUM(G284:G291)</f>
        <v>170200</v>
      </c>
      <c r="H283" s="31"/>
      <c r="I283" s="108"/>
      <c r="J283" s="116">
        <f>G283/G$460</f>
        <v>0.010001477303991906</v>
      </c>
    </row>
    <row r="284" spans="1:10" ht="12.75">
      <c r="A284" s="13">
        <f t="shared" si="13"/>
        <v>222</v>
      </c>
      <c r="B284" s="54" t="s">
        <v>196</v>
      </c>
      <c r="C284" s="9" t="s">
        <v>77</v>
      </c>
      <c r="D284" s="31">
        <v>0</v>
      </c>
      <c r="E284" s="62"/>
      <c r="F284" s="62">
        <v>0</v>
      </c>
      <c r="G284" s="31">
        <v>94000</v>
      </c>
      <c r="H284" s="31"/>
      <c r="I284" s="108">
        <v>0.9295</v>
      </c>
      <c r="J284" s="107">
        <f>G284/G$460</f>
        <v>0.005523730120888597</v>
      </c>
    </row>
    <row r="285" spans="1:10" ht="12.75">
      <c r="A285" s="13">
        <f t="shared" si="13"/>
        <v>223</v>
      </c>
      <c r="B285" s="54" t="s">
        <v>204</v>
      </c>
      <c r="C285" s="9" t="s">
        <v>75</v>
      </c>
      <c r="D285" s="31"/>
      <c r="E285" s="62"/>
      <c r="F285" s="62"/>
      <c r="G285" s="31"/>
      <c r="H285" s="31"/>
      <c r="I285" s="108"/>
      <c r="J285" s="107"/>
    </row>
    <row r="286" spans="1:10" ht="12.75">
      <c r="A286" s="13">
        <f t="shared" si="13"/>
        <v>224</v>
      </c>
      <c r="B286" s="54"/>
      <c r="C286" s="55" t="s">
        <v>176</v>
      </c>
      <c r="D286" s="31"/>
      <c r="E286" s="62"/>
      <c r="F286" s="62"/>
      <c r="G286" s="31"/>
      <c r="H286" s="31"/>
      <c r="I286" s="108"/>
      <c r="J286" s="107"/>
    </row>
    <row r="287" spans="1:10" ht="12.75">
      <c r="A287" s="13">
        <f t="shared" si="13"/>
        <v>225</v>
      </c>
      <c r="B287" s="54"/>
      <c r="C287" s="9" t="s">
        <v>177</v>
      </c>
      <c r="D287" s="31"/>
      <c r="E287" s="62"/>
      <c r="F287" s="62"/>
      <c r="G287" s="31"/>
      <c r="H287" s="31"/>
      <c r="I287" s="108"/>
      <c r="J287" s="107"/>
    </row>
    <row r="288" spans="1:10" ht="12.75">
      <c r="A288" s="13">
        <f t="shared" si="13"/>
        <v>226</v>
      </c>
      <c r="B288" s="54"/>
      <c r="C288" s="9" t="s">
        <v>182</v>
      </c>
      <c r="D288" s="31">
        <v>0</v>
      </c>
      <c r="E288" s="62"/>
      <c r="F288" s="62">
        <v>0</v>
      </c>
      <c r="G288" s="31">
        <v>0</v>
      </c>
      <c r="H288" s="31"/>
      <c r="I288" s="108"/>
      <c r="J288" s="107">
        <f>G288/G$460</f>
        <v>0</v>
      </c>
    </row>
    <row r="289" spans="1:10" ht="12.75">
      <c r="A289" s="13">
        <f t="shared" si="13"/>
        <v>227</v>
      </c>
      <c r="B289" s="54" t="s">
        <v>207</v>
      </c>
      <c r="C289" s="9" t="s">
        <v>13</v>
      </c>
      <c r="D289" s="31">
        <v>0</v>
      </c>
      <c r="E289" s="62"/>
      <c r="F289" s="62">
        <v>0</v>
      </c>
      <c r="G289" s="31">
        <v>76080</v>
      </c>
      <c r="H289" s="31"/>
      <c r="I289" s="108">
        <v>0.92</v>
      </c>
      <c r="J289" s="107">
        <f>G289/G$460</f>
        <v>0.004470695612736217</v>
      </c>
    </row>
    <row r="290" spans="1:10" ht="12.75">
      <c r="A290" s="13">
        <f t="shared" si="13"/>
        <v>228</v>
      </c>
      <c r="B290" s="54" t="s">
        <v>209</v>
      </c>
      <c r="C290" s="9" t="s">
        <v>90</v>
      </c>
      <c r="D290" s="31">
        <v>0</v>
      </c>
      <c r="E290" s="62"/>
      <c r="F290" s="62">
        <v>0</v>
      </c>
      <c r="G290" s="31">
        <v>0</v>
      </c>
      <c r="H290" s="31"/>
      <c r="I290" s="108"/>
      <c r="J290" s="107">
        <f>G290/G$460</f>
        <v>0</v>
      </c>
    </row>
    <row r="291" spans="1:10" ht="12.75">
      <c r="A291" s="13">
        <f t="shared" si="13"/>
        <v>229</v>
      </c>
      <c r="B291" s="54" t="s">
        <v>200</v>
      </c>
      <c r="C291" s="9" t="s">
        <v>72</v>
      </c>
      <c r="D291" s="31">
        <v>0</v>
      </c>
      <c r="E291" s="62"/>
      <c r="F291" s="62">
        <v>0</v>
      </c>
      <c r="G291" s="31">
        <v>120</v>
      </c>
      <c r="H291" s="31"/>
      <c r="I291" s="108">
        <v>0.8</v>
      </c>
      <c r="J291" s="107">
        <f>G291/G$460</f>
        <v>7.051570367091825E-06</v>
      </c>
    </row>
    <row r="292" spans="1:10" s="3" customFormat="1" ht="12.75">
      <c r="A292" s="13">
        <f t="shared" si="13"/>
        <v>230</v>
      </c>
      <c r="B292" s="22">
        <v>80110</v>
      </c>
      <c r="C292" s="19" t="s">
        <v>19</v>
      </c>
      <c r="D292" s="25">
        <f>SUM(D296:D302)</f>
        <v>101525</v>
      </c>
      <c r="E292" s="25">
        <f>SUM(E296:E299)</f>
        <v>0</v>
      </c>
      <c r="F292" s="25">
        <f>SUM(F296:F302)</f>
        <v>102700</v>
      </c>
      <c r="G292" s="25">
        <f>SUM(G296:G302)</f>
        <v>107500</v>
      </c>
      <c r="H292" s="25">
        <f>SUM(H296:H298)</f>
        <v>109300</v>
      </c>
      <c r="I292" s="113">
        <f>G292/F292</f>
        <v>1.0467380720545278</v>
      </c>
      <c r="J292" s="114">
        <f>G292/G$460</f>
        <v>0.006317031787186427</v>
      </c>
    </row>
    <row r="293" spans="1:10" ht="12.75">
      <c r="A293" s="13">
        <f t="shared" si="13"/>
        <v>231</v>
      </c>
      <c r="B293" s="54" t="s">
        <v>204</v>
      </c>
      <c r="C293" s="9" t="s">
        <v>75</v>
      </c>
      <c r="D293" s="31"/>
      <c r="E293" s="31"/>
      <c r="F293" s="31"/>
      <c r="G293" s="31"/>
      <c r="H293" s="31"/>
      <c r="I293" s="108"/>
      <c r="J293" s="107"/>
    </row>
    <row r="294" spans="1:10" ht="12.75">
      <c r="A294" s="13">
        <f t="shared" si="13"/>
        <v>232</v>
      </c>
      <c r="B294" s="54"/>
      <c r="C294" s="55" t="s">
        <v>176</v>
      </c>
      <c r="D294" s="31"/>
      <c r="E294" s="31"/>
      <c r="F294" s="31"/>
      <c r="G294" s="31"/>
      <c r="H294" s="31"/>
      <c r="I294" s="108"/>
      <c r="J294" s="107"/>
    </row>
    <row r="295" spans="1:10" ht="12.75">
      <c r="A295" s="13">
        <f t="shared" si="13"/>
        <v>233</v>
      </c>
      <c r="B295" s="54"/>
      <c r="C295" s="9" t="s">
        <v>177</v>
      </c>
      <c r="D295" s="31"/>
      <c r="E295" s="31"/>
      <c r="F295" s="31"/>
      <c r="G295" s="31"/>
      <c r="H295" s="31"/>
      <c r="I295" s="108"/>
      <c r="J295" s="107"/>
    </row>
    <row r="296" spans="1:10" ht="12.75">
      <c r="A296" s="13">
        <f t="shared" si="13"/>
        <v>234</v>
      </c>
      <c r="B296" s="54"/>
      <c r="C296" s="9" t="s">
        <v>178</v>
      </c>
      <c r="D296" s="31">
        <v>9000</v>
      </c>
      <c r="E296" s="31">
        <v>0</v>
      </c>
      <c r="F296" s="31">
        <v>10000</v>
      </c>
      <c r="G296" s="31">
        <v>11000</v>
      </c>
      <c r="H296" s="31">
        <v>9400</v>
      </c>
      <c r="I296" s="108">
        <f>G296/F296</f>
        <v>1.1</v>
      </c>
      <c r="J296" s="107">
        <f>G296/G$460</f>
        <v>0.0006463939503167506</v>
      </c>
    </row>
    <row r="297" spans="1:10" ht="12.75">
      <c r="A297" s="13">
        <f t="shared" si="13"/>
        <v>235</v>
      </c>
      <c r="B297" s="54" t="s">
        <v>207</v>
      </c>
      <c r="C297" s="9" t="s">
        <v>13</v>
      </c>
      <c r="D297" s="31">
        <v>92500</v>
      </c>
      <c r="E297" s="31">
        <v>0</v>
      </c>
      <c r="F297" s="31">
        <v>92500</v>
      </c>
      <c r="G297" s="31">
        <v>96200</v>
      </c>
      <c r="H297" s="31">
        <v>99900</v>
      </c>
      <c r="I297" s="108">
        <f>G297/F297</f>
        <v>1.04</v>
      </c>
      <c r="J297" s="107">
        <f>G297/G$460</f>
        <v>0.005653008910951947</v>
      </c>
    </row>
    <row r="298" spans="1:10" ht="12.75">
      <c r="A298" s="13">
        <f t="shared" si="13"/>
        <v>236</v>
      </c>
      <c r="B298" s="54" t="s">
        <v>209</v>
      </c>
      <c r="C298" s="9" t="s">
        <v>90</v>
      </c>
      <c r="D298" s="31">
        <v>0</v>
      </c>
      <c r="E298" s="31">
        <v>0</v>
      </c>
      <c r="F298" s="31">
        <v>0</v>
      </c>
      <c r="G298" s="31">
        <v>0</v>
      </c>
      <c r="H298" s="31">
        <v>0</v>
      </c>
      <c r="I298" s="108"/>
      <c r="J298" s="107">
        <f>G298/G$460</f>
        <v>0</v>
      </c>
    </row>
    <row r="299" spans="1:10" ht="12.75">
      <c r="A299" s="13">
        <f t="shared" si="13"/>
        <v>237</v>
      </c>
      <c r="B299" s="54" t="s">
        <v>200</v>
      </c>
      <c r="C299" s="9" t="s">
        <v>72</v>
      </c>
      <c r="D299" s="31">
        <v>25</v>
      </c>
      <c r="E299" s="31"/>
      <c r="F299" s="31">
        <v>200</v>
      </c>
      <c r="G299" s="31">
        <v>300</v>
      </c>
      <c r="H299" s="31"/>
      <c r="I299" s="108">
        <f>G299/F299</f>
        <v>1.5</v>
      </c>
      <c r="J299" s="107">
        <f>G299/G$460</f>
        <v>1.7628925917729565E-05</v>
      </c>
    </row>
    <row r="300" spans="1:10" ht="12.75">
      <c r="A300" s="13">
        <f t="shared" si="13"/>
        <v>238</v>
      </c>
      <c r="B300" s="57">
        <v>2030</v>
      </c>
      <c r="C300" s="56" t="s">
        <v>102</v>
      </c>
      <c r="D300" s="31"/>
      <c r="E300" s="31"/>
      <c r="F300" s="31"/>
      <c r="G300" s="31"/>
      <c r="H300" s="31"/>
      <c r="I300" s="108"/>
      <c r="J300" s="107"/>
    </row>
    <row r="301" spans="1:10" ht="12.75">
      <c r="A301" s="13">
        <f t="shared" si="13"/>
        <v>239</v>
      </c>
      <c r="B301" s="57"/>
      <c r="C301" s="56" t="s">
        <v>229</v>
      </c>
      <c r="D301" s="31"/>
      <c r="E301" s="31"/>
      <c r="F301" s="31"/>
      <c r="G301" s="31"/>
      <c r="H301" s="31"/>
      <c r="I301" s="108"/>
      <c r="J301" s="107"/>
    </row>
    <row r="302" spans="1:10" ht="12.75">
      <c r="A302" s="13">
        <f t="shared" si="13"/>
        <v>240</v>
      </c>
      <c r="B302" s="57"/>
      <c r="C302" s="56" t="s">
        <v>174</v>
      </c>
      <c r="D302" s="31">
        <v>0</v>
      </c>
      <c r="E302" s="31"/>
      <c r="F302" s="31">
        <v>0</v>
      </c>
      <c r="G302" s="31">
        <v>0</v>
      </c>
      <c r="H302" s="31"/>
      <c r="I302" s="108"/>
      <c r="J302" s="107"/>
    </row>
    <row r="303" spans="1:10" s="52" customFormat="1" ht="12.75">
      <c r="A303" s="13">
        <f t="shared" si="13"/>
        <v>241</v>
      </c>
      <c r="B303" s="53">
        <v>80195</v>
      </c>
      <c r="C303" s="50" t="s">
        <v>9</v>
      </c>
      <c r="D303" s="51">
        <f>SUM(D304:D307)</f>
        <v>21680</v>
      </c>
      <c r="E303" s="51">
        <f>SUM(E304:E307)</f>
        <v>-21680</v>
      </c>
      <c r="F303" s="51">
        <f>SUM(F304:F307)</f>
        <v>21680</v>
      </c>
      <c r="G303" s="51">
        <f>SUM(G304:G307)</f>
        <v>0</v>
      </c>
      <c r="H303" s="51">
        <f>SUM(H304:H307)</f>
        <v>0</v>
      </c>
      <c r="I303" s="115">
        <f>G303/F303</f>
        <v>0</v>
      </c>
      <c r="J303" s="116">
        <f>G303/G$460</f>
        <v>0</v>
      </c>
    </row>
    <row r="304" spans="1:10" s="63" customFormat="1" ht="12.75">
      <c r="A304" s="13">
        <f t="shared" si="13"/>
        <v>242</v>
      </c>
      <c r="B304" s="57" t="s">
        <v>226</v>
      </c>
      <c r="C304" s="56" t="s">
        <v>95</v>
      </c>
      <c r="D304" s="62">
        <v>0</v>
      </c>
      <c r="E304" s="31">
        <f>G304-D304</f>
        <v>0</v>
      </c>
      <c r="F304" s="31">
        <v>0</v>
      </c>
      <c r="G304" s="62">
        <v>0</v>
      </c>
      <c r="H304" s="62">
        <v>0</v>
      </c>
      <c r="I304" s="108"/>
      <c r="J304" s="107"/>
    </row>
    <row r="305" spans="1:10" s="52" customFormat="1" ht="12.75">
      <c r="A305" s="13">
        <f t="shared" si="13"/>
        <v>243</v>
      </c>
      <c r="B305" s="57">
        <v>2030</v>
      </c>
      <c r="C305" s="56" t="s">
        <v>102</v>
      </c>
      <c r="D305" s="51"/>
      <c r="E305" s="51"/>
      <c r="F305" s="51"/>
      <c r="G305" s="51"/>
      <c r="H305" s="51"/>
      <c r="I305" s="108"/>
      <c r="J305" s="107"/>
    </row>
    <row r="306" spans="1:10" ht="12.75">
      <c r="A306" s="13">
        <f t="shared" si="13"/>
        <v>244</v>
      </c>
      <c r="B306" s="57"/>
      <c r="C306" s="56" t="s">
        <v>111</v>
      </c>
      <c r="D306" s="31"/>
      <c r="E306" s="31"/>
      <c r="F306" s="31"/>
      <c r="G306" s="31"/>
      <c r="H306" s="31"/>
      <c r="I306" s="108"/>
      <c r="J306" s="107"/>
    </row>
    <row r="307" spans="1:10" ht="12.75">
      <c r="A307" s="13">
        <f t="shared" si="13"/>
        <v>245</v>
      </c>
      <c r="B307" s="57"/>
      <c r="C307" s="56" t="s">
        <v>112</v>
      </c>
      <c r="D307" s="31">
        <v>21680</v>
      </c>
      <c r="E307" s="31">
        <f>G307-D307</f>
        <v>-21680</v>
      </c>
      <c r="F307" s="31">
        <v>21680</v>
      </c>
      <c r="G307" s="31">
        <v>0</v>
      </c>
      <c r="H307" s="31">
        <v>0</v>
      </c>
      <c r="I307" s="108">
        <f>G307/F307</f>
        <v>0</v>
      </c>
      <c r="J307" s="107">
        <f>G307/G$460</f>
        <v>0</v>
      </c>
    </row>
    <row r="308" spans="1:10" s="48" customFormat="1" ht="15">
      <c r="A308" s="13">
        <f t="shared" si="13"/>
        <v>246</v>
      </c>
      <c r="B308" s="49">
        <v>852</v>
      </c>
      <c r="C308" s="46" t="s">
        <v>197</v>
      </c>
      <c r="D308" s="47">
        <f>D311+D317+D322+D330+D335+D341+D347</f>
        <v>0</v>
      </c>
      <c r="E308" s="47">
        <f>E311+E317+E322+E330+E335+E341+E347</f>
        <v>0</v>
      </c>
      <c r="F308" s="47">
        <f>F311+F317+F322+F330+F335+F341+F347</f>
        <v>0</v>
      </c>
      <c r="G308" s="47">
        <f>G311+G317+G322+G330+G335+G341+G347</f>
        <v>320500</v>
      </c>
      <c r="H308" s="47"/>
      <c r="I308" s="113">
        <f>320500/646713</f>
        <v>0.49558304843106604</v>
      </c>
      <c r="J308" s="107">
        <f>G308/G$460</f>
        <v>0.018833569188774418</v>
      </c>
    </row>
    <row r="309" spans="1:10" s="52" customFormat="1" ht="12.75">
      <c r="A309" s="13">
        <f t="shared" si="13"/>
        <v>247</v>
      </c>
      <c r="B309" s="53">
        <v>85213</v>
      </c>
      <c r="C309" s="50" t="s">
        <v>152</v>
      </c>
      <c r="D309" s="51"/>
      <c r="E309" s="51"/>
      <c r="F309" s="51"/>
      <c r="G309" s="51"/>
      <c r="H309" s="51"/>
      <c r="I309" s="115"/>
      <c r="J309" s="116"/>
    </row>
    <row r="310" spans="1:10" s="52" customFormat="1" ht="12.75">
      <c r="A310" s="13">
        <f t="shared" si="13"/>
        <v>248</v>
      </c>
      <c r="B310" s="58"/>
      <c r="C310" s="65" t="s">
        <v>153</v>
      </c>
      <c r="D310" s="51"/>
      <c r="E310" s="51"/>
      <c r="F310" s="51"/>
      <c r="G310" s="51"/>
      <c r="H310" s="51"/>
      <c r="I310" s="115"/>
      <c r="J310" s="116"/>
    </row>
    <row r="311" spans="1:10" s="52" customFormat="1" ht="12.75">
      <c r="A311" s="13">
        <f t="shared" si="13"/>
        <v>249</v>
      </c>
      <c r="B311" s="58"/>
      <c r="C311" s="50" t="s">
        <v>154</v>
      </c>
      <c r="D311" s="51">
        <f>D315</f>
        <v>0</v>
      </c>
      <c r="E311" s="51"/>
      <c r="F311" s="51">
        <f>F315</f>
        <v>0</v>
      </c>
      <c r="G311" s="51">
        <f>G315</f>
        <v>10000</v>
      </c>
      <c r="H311" s="51"/>
      <c r="I311" s="108">
        <f>10000/15000</f>
        <v>0.6666666666666666</v>
      </c>
      <c r="J311" s="107">
        <f>G311/G$460</f>
        <v>0.0005876308639243188</v>
      </c>
    </row>
    <row r="312" spans="1:10" ht="12.75">
      <c r="A312" s="13">
        <f t="shared" si="13"/>
        <v>250</v>
      </c>
      <c r="B312" s="57">
        <v>2010</v>
      </c>
      <c r="C312" s="9" t="s">
        <v>102</v>
      </c>
      <c r="D312" s="31"/>
      <c r="E312" s="31"/>
      <c r="F312" s="51"/>
      <c r="G312" s="51"/>
      <c r="H312" s="31"/>
      <c r="I312" s="108"/>
      <c r="J312" s="107"/>
    </row>
    <row r="313" spans="1:10" ht="12.75">
      <c r="A313" s="13">
        <f t="shared" si="13"/>
        <v>251</v>
      </c>
      <c r="B313" s="57"/>
      <c r="C313" s="9" t="s">
        <v>114</v>
      </c>
      <c r="D313" s="31"/>
      <c r="E313" s="31"/>
      <c r="F313" s="31"/>
      <c r="G313" s="31"/>
      <c r="H313" s="31"/>
      <c r="I313" s="108"/>
      <c r="J313" s="107"/>
    </row>
    <row r="314" spans="1:10" ht="12.75">
      <c r="A314" s="13">
        <f t="shared" si="13"/>
        <v>252</v>
      </c>
      <c r="B314" s="57"/>
      <c r="C314" s="9" t="s">
        <v>115</v>
      </c>
      <c r="D314" s="31"/>
      <c r="E314" s="31"/>
      <c r="F314" s="31"/>
      <c r="G314" s="31"/>
      <c r="H314" s="31"/>
      <c r="I314" s="108"/>
      <c r="J314" s="107"/>
    </row>
    <row r="315" spans="1:10" ht="12.75">
      <c r="A315" s="13">
        <f t="shared" si="13"/>
        <v>253</v>
      </c>
      <c r="B315" s="57"/>
      <c r="C315" s="9" t="s">
        <v>104</v>
      </c>
      <c r="D315" s="31">
        <v>0</v>
      </c>
      <c r="E315" s="31"/>
      <c r="F315" s="31">
        <v>0</v>
      </c>
      <c r="G315" s="31">
        <v>10000</v>
      </c>
      <c r="H315" s="31"/>
      <c r="I315" s="108">
        <f>10000/15000</f>
        <v>0.6666666666666666</v>
      </c>
      <c r="J315" s="107">
        <f>G315/G$460</f>
        <v>0.0005876308639243188</v>
      </c>
    </row>
    <row r="316" spans="1:10" ht="12.75">
      <c r="A316" s="13">
        <f t="shared" si="13"/>
        <v>254</v>
      </c>
      <c r="B316" s="53">
        <v>85214</v>
      </c>
      <c r="C316" s="19" t="s">
        <v>47</v>
      </c>
      <c r="D316" s="31"/>
      <c r="E316" s="31"/>
      <c r="F316" s="31"/>
      <c r="G316" s="31"/>
      <c r="H316" s="31"/>
      <c r="I316" s="108"/>
      <c r="J316" s="107"/>
    </row>
    <row r="317" spans="1:10" ht="12.75">
      <c r="A317" s="13">
        <f t="shared" si="13"/>
        <v>255</v>
      </c>
      <c r="B317" s="57"/>
      <c r="C317" s="19" t="s">
        <v>113</v>
      </c>
      <c r="D317" s="51">
        <f>D321</f>
        <v>0</v>
      </c>
      <c r="E317" s="51"/>
      <c r="F317" s="51">
        <f>F321</f>
        <v>0</v>
      </c>
      <c r="G317" s="51">
        <f>G321</f>
        <v>176000</v>
      </c>
      <c r="H317" s="31"/>
      <c r="I317" s="108">
        <f>176000/302424</f>
        <v>0.581964394360236</v>
      </c>
      <c r="J317" s="107">
        <f>G317/G$460</f>
        <v>0.01034230320506801</v>
      </c>
    </row>
    <row r="318" spans="1:10" ht="12.75">
      <c r="A318" s="13">
        <f t="shared" si="13"/>
        <v>256</v>
      </c>
      <c r="B318" s="54">
        <v>2010</v>
      </c>
      <c r="C318" s="9" t="s">
        <v>102</v>
      </c>
      <c r="D318" s="31"/>
      <c r="E318" s="31"/>
      <c r="F318" s="31"/>
      <c r="G318" s="31"/>
      <c r="H318" s="31"/>
      <c r="I318" s="108"/>
      <c r="J318" s="107"/>
    </row>
    <row r="319" spans="1:10" ht="12.75">
      <c r="A319" s="13">
        <f t="shared" si="13"/>
        <v>257</v>
      </c>
      <c r="B319" s="54"/>
      <c r="C319" s="9" t="s">
        <v>228</v>
      </c>
      <c r="D319" s="31"/>
      <c r="E319" s="31"/>
      <c r="F319" s="31"/>
      <c r="G319" s="31"/>
      <c r="H319" s="31"/>
      <c r="I319" s="108"/>
      <c r="J319" s="107"/>
    </row>
    <row r="320" spans="1:10" ht="12.75">
      <c r="A320" s="13">
        <f t="shared" si="13"/>
        <v>258</v>
      </c>
      <c r="B320" s="54"/>
      <c r="C320" s="9" t="s">
        <v>115</v>
      </c>
      <c r="D320" s="31"/>
      <c r="E320" s="31"/>
      <c r="F320" s="31"/>
      <c r="G320" s="31"/>
      <c r="H320" s="31"/>
      <c r="I320" s="108"/>
      <c r="J320" s="107"/>
    </row>
    <row r="321" spans="1:10" ht="12.75">
      <c r="A321" s="13">
        <f t="shared" si="13"/>
        <v>259</v>
      </c>
      <c r="B321" s="54"/>
      <c r="C321" s="9" t="s">
        <v>104</v>
      </c>
      <c r="D321" s="31">
        <v>0</v>
      </c>
      <c r="E321" s="31"/>
      <c r="F321" s="31">
        <v>0</v>
      </c>
      <c r="G321" s="31">
        <v>176000</v>
      </c>
      <c r="H321" s="31"/>
      <c r="I321" s="108">
        <f>176000/298924</f>
        <v>0.5887784185946929</v>
      </c>
      <c r="J321" s="107">
        <f>G321/G$460</f>
        <v>0.01034230320506801</v>
      </c>
    </row>
    <row r="322" spans="1:10" ht="12.75">
      <c r="A322" s="13">
        <f t="shared" si="13"/>
        <v>260</v>
      </c>
      <c r="B322" s="18">
        <v>85215</v>
      </c>
      <c r="C322" s="19" t="s">
        <v>21</v>
      </c>
      <c r="D322" s="51">
        <f>D325</f>
        <v>0</v>
      </c>
      <c r="E322" s="51"/>
      <c r="F322" s="51">
        <f>F325</f>
        <v>0</v>
      </c>
      <c r="G322" s="51">
        <f>G325</f>
        <v>0</v>
      </c>
      <c r="H322" s="51"/>
      <c r="I322" s="115"/>
      <c r="J322" s="116"/>
    </row>
    <row r="323" spans="1:10" ht="12.75">
      <c r="A323" s="13">
        <f t="shared" si="13"/>
        <v>261</v>
      </c>
      <c r="B323" s="57">
        <v>2030</v>
      </c>
      <c r="C323" s="56" t="s">
        <v>102</v>
      </c>
      <c r="D323" s="31"/>
      <c r="E323" s="31"/>
      <c r="F323" s="31"/>
      <c r="G323" s="31"/>
      <c r="H323" s="31"/>
      <c r="I323" s="108"/>
      <c r="J323" s="107"/>
    </row>
    <row r="324" spans="1:10" ht="12.75">
      <c r="A324" s="13">
        <f t="shared" si="13"/>
        <v>262</v>
      </c>
      <c r="B324" s="57"/>
      <c r="C324" s="56" t="s">
        <v>229</v>
      </c>
      <c r="D324" s="31"/>
      <c r="E324" s="31"/>
      <c r="F324" s="31"/>
      <c r="G324" s="31"/>
      <c r="H324" s="31"/>
      <c r="I324" s="108"/>
      <c r="J324" s="107"/>
    </row>
    <row r="325" spans="1:10" ht="12.75">
      <c r="A325" s="13">
        <f t="shared" si="13"/>
        <v>263</v>
      </c>
      <c r="B325" s="61"/>
      <c r="C325" s="56" t="s">
        <v>112</v>
      </c>
      <c r="D325" s="31">
        <v>0</v>
      </c>
      <c r="E325" s="31"/>
      <c r="F325" s="31">
        <v>0</v>
      </c>
      <c r="G325" s="31">
        <v>0</v>
      </c>
      <c r="H325" s="31"/>
      <c r="I325" s="108"/>
      <c r="J325" s="107"/>
    </row>
    <row r="326" spans="1:10" ht="12.75">
      <c r="A326" s="13"/>
      <c r="B326" s="61"/>
      <c r="C326" s="56"/>
      <c r="D326" s="31"/>
      <c r="E326" s="31"/>
      <c r="F326" s="31"/>
      <c r="G326" s="31"/>
      <c r="H326" s="31"/>
      <c r="I326" s="108"/>
      <c r="J326" s="107"/>
    </row>
    <row r="327" spans="1:10" ht="12.75">
      <c r="A327" s="13"/>
      <c r="B327" s="61"/>
      <c r="C327" s="56"/>
      <c r="D327" s="31"/>
      <c r="E327" s="31"/>
      <c r="F327" s="31"/>
      <c r="G327" s="31"/>
      <c r="H327" s="31"/>
      <c r="I327" s="108"/>
      <c r="J327" s="107"/>
    </row>
    <row r="328" spans="1:10" ht="12.75">
      <c r="A328" s="13"/>
      <c r="B328" s="61"/>
      <c r="C328" s="56"/>
      <c r="D328" s="31"/>
      <c r="E328" s="31"/>
      <c r="F328" s="31"/>
      <c r="G328" s="31"/>
      <c r="H328" s="31"/>
      <c r="I328" s="108"/>
      <c r="J328" s="107"/>
    </row>
    <row r="329" spans="1:10" ht="12.75">
      <c r="A329" s="13">
        <f>A325+1</f>
        <v>264</v>
      </c>
      <c r="B329" s="18">
        <v>85216</v>
      </c>
      <c r="C329" s="19" t="s">
        <v>49</v>
      </c>
      <c r="D329" s="31"/>
      <c r="E329" s="31"/>
      <c r="F329" s="31"/>
      <c r="G329" s="31"/>
      <c r="H329" s="31"/>
      <c r="I329" s="108"/>
      <c r="J329" s="107"/>
    </row>
    <row r="330" spans="1:10" ht="12.75">
      <c r="A330" s="13">
        <f t="shared" si="13"/>
        <v>265</v>
      </c>
      <c r="B330" s="18"/>
      <c r="C330" s="19" t="s">
        <v>50</v>
      </c>
      <c r="D330" s="51">
        <f>D334</f>
        <v>0</v>
      </c>
      <c r="E330" s="51">
        <f>E334</f>
        <v>0</v>
      </c>
      <c r="F330" s="51">
        <f>F334</f>
        <v>0</v>
      </c>
      <c r="G330" s="51">
        <f>G334</f>
        <v>24000</v>
      </c>
      <c r="H330" s="31"/>
      <c r="I330" s="108">
        <f>24000/47551</f>
        <v>0.5047212466614792</v>
      </c>
      <c r="J330" s="107">
        <f>G330/G$460</f>
        <v>0.001410314073418365</v>
      </c>
    </row>
    <row r="331" spans="1:10" ht="12.75">
      <c r="A331" s="13">
        <f t="shared" si="13"/>
        <v>266</v>
      </c>
      <c r="B331" s="54">
        <v>2010</v>
      </c>
      <c r="C331" s="9" t="s">
        <v>102</v>
      </c>
      <c r="D331" s="31"/>
      <c r="E331" s="31"/>
      <c r="F331" s="31"/>
      <c r="G331" s="31"/>
      <c r="H331" s="31"/>
      <c r="I331" s="108"/>
      <c r="J331" s="107"/>
    </row>
    <row r="332" spans="1:10" ht="12.75">
      <c r="A332" s="13">
        <f t="shared" si="13"/>
        <v>267</v>
      </c>
      <c r="B332" s="54"/>
      <c r="C332" s="9" t="s">
        <v>228</v>
      </c>
      <c r="D332" s="31"/>
      <c r="E332" s="31"/>
      <c r="F332" s="31"/>
      <c r="G332" s="31"/>
      <c r="H332" s="31"/>
      <c r="I332" s="108"/>
      <c r="J332" s="107"/>
    </row>
    <row r="333" spans="1:10" ht="12.75">
      <c r="A333" s="13">
        <f t="shared" si="13"/>
        <v>268</v>
      </c>
      <c r="B333" s="54"/>
      <c r="C333" s="9" t="s">
        <v>115</v>
      </c>
      <c r="D333" s="31"/>
      <c r="E333" s="31"/>
      <c r="F333" s="31"/>
      <c r="G333" s="31"/>
      <c r="H333" s="31"/>
      <c r="I333" s="108"/>
      <c r="J333" s="107"/>
    </row>
    <row r="334" spans="1:10" ht="12.75">
      <c r="A334" s="13">
        <f t="shared" si="13"/>
        <v>269</v>
      </c>
      <c r="B334" s="54"/>
      <c r="C334" s="9" t="s">
        <v>104</v>
      </c>
      <c r="D334" s="31">
        <v>0</v>
      </c>
      <c r="E334" s="31"/>
      <c r="F334" s="31">
        <v>0</v>
      </c>
      <c r="G334" s="31">
        <v>24000</v>
      </c>
      <c r="H334" s="31"/>
      <c r="I334" s="108">
        <f>24000/47551</f>
        <v>0.5047212466614792</v>
      </c>
      <c r="J334" s="107">
        <f>G334/G$460</f>
        <v>0.001410314073418365</v>
      </c>
    </row>
    <row r="335" spans="1:10" ht="12.75">
      <c r="A335" s="13">
        <f t="shared" si="13"/>
        <v>270</v>
      </c>
      <c r="B335" s="18">
        <v>85219</v>
      </c>
      <c r="C335" s="19" t="s">
        <v>48</v>
      </c>
      <c r="D335" s="51">
        <f>D339</f>
        <v>0</v>
      </c>
      <c r="E335" s="51"/>
      <c r="F335" s="51">
        <f>F339</f>
        <v>0</v>
      </c>
      <c r="G335" s="51">
        <f>G339</f>
        <v>103000</v>
      </c>
      <c r="H335" s="31"/>
      <c r="I335" s="108">
        <f>103000/102400</f>
        <v>1.005859375</v>
      </c>
      <c r="J335" s="107">
        <f>G335/G$460</f>
        <v>0.006052597898420484</v>
      </c>
    </row>
    <row r="336" spans="1:10" ht="12.75">
      <c r="A336" s="13">
        <f aca="true" t="shared" si="14" ref="A336:A399">A335+1</f>
        <v>271</v>
      </c>
      <c r="B336" s="54">
        <v>2010</v>
      </c>
      <c r="C336" s="9" t="s">
        <v>102</v>
      </c>
      <c r="D336" s="31"/>
      <c r="E336" s="31"/>
      <c r="F336" s="31"/>
      <c r="G336" s="31"/>
      <c r="H336" s="31"/>
      <c r="I336" s="108"/>
      <c r="J336" s="107"/>
    </row>
    <row r="337" spans="1:10" ht="12.75">
      <c r="A337" s="13">
        <f t="shared" si="14"/>
        <v>272</v>
      </c>
      <c r="B337" s="54"/>
      <c r="C337" s="9" t="s">
        <v>228</v>
      </c>
      <c r="D337" s="31"/>
      <c r="E337" s="31"/>
      <c r="F337" s="31"/>
      <c r="G337" s="31"/>
      <c r="H337" s="31"/>
      <c r="I337" s="108"/>
      <c r="J337" s="107"/>
    </row>
    <row r="338" spans="1:10" ht="12.75">
      <c r="A338" s="13">
        <f t="shared" si="14"/>
        <v>273</v>
      </c>
      <c r="B338" s="54"/>
      <c r="C338" s="9" t="s">
        <v>115</v>
      </c>
      <c r="D338" s="31"/>
      <c r="E338" s="31"/>
      <c r="F338" s="31"/>
      <c r="G338" s="31"/>
      <c r="H338" s="31"/>
      <c r="I338" s="108"/>
      <c r="J338" s="107"/>
    </row>
    <row r="339" spans="1:10" ht="12.75">
      <c r="A339" s="13">
        <f t="shared" si="14"/>
        <v>274</v>
      </c>
      <c r="B339" s="54"/>
      <c r="C339" s="9" t="s">
        <v>104</v>
      </c>
      <c r="D339" s="31">
        <v>0</v>
      </c>
      <c r="E339" s="31"/>
      <c r="F339" s="31">
        <v>0</v>
      </c>
      <c r="G339" s="31">
        <v>103000</v>
      </c>
      <c r="H339" s="31"/>
      <c r="I339" s="108">
        <f>103000/102400</f>
        <v>1.005859375</v>
      </c>
      <c r="J339" s="107">
        <f>G339/G$460</f>
        <v>0.006052597898420484</v>
      </c>
    </row>
    <row r="340" spans="1:10" ht="12.75">
      <c r="A340" s="13">
        <f t="shared" si="14"/>
        <v>275</v>
      </c>
      <c r="B340" s="18">
        <v>85228</v>
      </c>
      <c r="C340" s="19" t="s">
        <v>45</v>
      </c>
      <c r="D340" s="31"/>
      <c r="E340" s="31"/>
      <c r="F340" s="31"/>
      <c r="G340" s="31"/>
      <c r="H340" s="31"/>
      <c r="I340" s="108"/>
      <c r="J340" s="107"/>
    </row>
    <row r="341" spans="1:10" ht="12.75">
      <c r="A341" s="13">
        <f t="shared" si="14"/>
        <v>276</v>
      </c>
      <c r="B341" s="18"/>
      <c r="C341" s="19" t="s">
        <v>46</v>
      </c>
      <c r="D341" s="51">
        <f>D342+D346</f>
        <v>0</v>
      </c>
      <c r="E341" s="51">
        <f>E346</f>
        <v>0</v>
      </c>
      <c r="F341" s="51">
        <f>F342+F346</f>
        <v>0</v>
      </c>
      <c r="G341" s="51">
        <f>G342+G346</f>
        <v>7500</v>
      </c>
      <c r="H341" s="31"/>
      <c r="I341" s="108">
        <f>7500/7500</f>
        <v>1</v>
      </c>
      <c r="J341" s="107">
        <f>G341/G$460</f>
        <v>0.0004407231479432391</v>
      </c>
    </row>
    <row r="342" spans="1:10" ht="12.75">
      <c r="A342" s="13">
        <f t="shared" si="14"/>
        <v>277</v>
      </c>
      <c r="B342" s="54" t="s">
        <v>207</v>
      </c>
      <c r="C342" s="9" t="s">
        <v>13</v>
      </c>
      <c r="D342" s="31">
        <v>0</v>
      </c>
      <c r="E342" s="31"/>
      <c r="F342" s="31">
        <v>0</v>
      </c>
      <c r="G342" s="31">
        <v>7500</v>
      </c>
      <c r="H342" s="31"/>
      <c r="I342" s="108">
        <f>7500/7500</f>
        <v>1</v>
      </c>
      <c r="J342" s="107">
        <f>G342/G$460</f>
        <v>0.0004407231479432391</v>
      </c>
    </row>
    <row r="343" spans="1:10" ht="12.75">
      <c r="A343" s="13">
        <f t="shared" si="14"/>
        <v>278</v>
      </c>
      <c r="B343" s="54">
        <v>2010</v>
      </c>
      <c r="C343" s="9" t="s">
        <v>102</v>
      </c>
      <c r="D343" s="31"/>
      <c r="E343" s="31"/>
      <c r="F343" s="31"/>
      <c r="G343" s="31"/>
      <c r="H343" s="31"/>
      <c r="I343" s="108"/>
      <c r="J343" s="107"/>
    </row>
    <row r="344" spans="1:10" ht="12.75">
      <c r="A344" s="13">
        <f t="shared" si="14"/>
        <v>279</v>
      </c>
      <c r="B344" s="54"/>
      <c r="C344" s="9" t="s">
        <v>228</v>
      </c>
      <c r="D344" s="31"/>
      <c r="E344" s="31"/>
      <c r="F344" s="31"/>
      <c r="G344" s="31"/>
      <c r="H344" s="31"/>
      <c r="I344" s="108"/>
      <c r="J344" s="107"/>
    </row>
    <row r="345" spans="1:10" ht="12.75">
      <c r="A345" s="13">
        <f t="shared" si="14"/>
        <v>280</v>
      </c>
      <c r="B345" s="54"/>
      <c r="C345" s="9" t="s">
        <v>115</v>
      </c>
      <c r="D345" s="31"/>
      <c r="E345" s="31"/>
      <c r="F345" s="31"/>
      <c r="G345" s="31"/>
      <c r="H345" s="31"/>
      <c r="I345" s="108"/>
      <c r="J345" s="107"/>
    </row>
    <row r="346" spans="1:10" ht="12.75">
      <c r="A346" s="13">
        <f t="shared" si="14"/>
        <v>281</v>
      </c>
      <c r="B346" s="54"/>
      <c r="C346" s="9" t="s">
        <v>104</v>
      </c>
      <c r="D346" s="31">
        <v>0</v>
      </c>
      <c r="E346" s="31"/>
      <c r="F346" s="31">
        <v>0</v>
      </c>
      <c r="G346" s="31">
        <v>0</v>
      </c>
      <c r="H346" s="31"/>
      <c r="I346" s="108"/>
      <c r="J346" s="107"/>
    </row>
    <row r="347" spans="1:10" ht="12.75">
      <c r="A347" s="13">
        <f t="shared" si="14"/>
        <v>282</v>
      </c>
      <c r="B347" s="18">
        <v>85295</v>
      </c>
      <c r="C347" s="19" t="s">
        <v>9</v>
      </c>
      <c r="D347" s="51">
        <f>D351+D354</f>
        <v>0</v>
      </c>
      <c r="E347" s="51">
        <f>E351+E354</f>
        <v>0</v>
      </c>
      <c r="F347" s="51">
        <f>F351+F354</f>
        <v>0</v>
      </c>
      <c r="G347" s="51">
        <f>G351+G354</f>
        <v>0</v>
      </c>
      <c r="H347" s="31"/>
      <c r="I347" s="108"/>
      <c r="J347" s="107"/>
    </row>
    <row r="348" spans="1:10" ht="12.75">
      <c r="A348" s="13">
        <f t="shared" si="14"/>
        <v>283</v>
      </c>
      <c r="B348" s="54">
        <v>2010</v>
      </c>
      <c r="C348" s="9" t="s">
        <v>102</v>
      </c>
      <c r="D348" s="31"/>
      <c r="E348" s="31"/>
      <c r="F348" s="31"/>
      <c r="G348" s="31"/>
      <c r="H348" s="31"/>
      <c r="I348" s="108"/>
      <c r="J348" s="107"/>
    </row>
    <row r="349" spans="1:10" ht="12.75">
      <c r="A349" s="13">
        <f t="shared" si="14"/>
        <v>284</v>
      </c>
      <c r="B349" s="54"/>
      <c r="C349" s="9" t="s">
        <v>228</v>
      </c>
      <c r="D349" s="31"/>
      <c r="E349" s="31"/>
      <c r="F349" s="31"/>
      <c r="G349" s="31"/>
      <c r="H349" s="31"/>
      <c r="I349" s="108"/>
      <c r="J349" s="107"/>
    </row>
    <row r="350" spans="1:10" ht="12.75">
      <c r="A350" s="13">
        <f t="shared" si="14"/>
        <v>285</v>
      </c>
      <c r="B350" s="54"/>
      <c r="C350" s="9" t="s">
        <v>115</v>
      </c>
      <c r="D350" s="31"/>
      <c r="E350" s="31"/>
      <c r="F350" s="31"/>
      <c r="G350" s="31"/>
      <c r="H350" s="31"/>
      <c r="I350" s="108"/>
      <c r="J350" s="107"/>
    </row>
    <row r="351" spans="1:10" ht="12.75">
      <c r="A351" s="13">
        <f t="shared" si="14"/>
        <v>286</v>
      </c>
      <c r="B351" s="54"/>
      <c r="C351" s="9" t="s">
        <v>104</v>
      </c>
      <c r="D351" s="31">
        <v>0</v>
      </c>
      <c r="E351" s="31"/>
      <c r="F351" s="31">
        <v>0</v>
      </c>
      <c r="G351" s="31">
        <v>0</v>
      </c>
      <c r="H351" s="31"/>
      <c r="I351" s="108"/>
      <c r="J351" s="107"/>
    </row>
    <row r="352" spans="1:10" ht="12.75">
      <c r="A352" s="13">
        <f t="shared" si="14"/>
        <v>287</v>
      </c>
      <c r="B352" s="57">
        <v>2030</v>
      </c>
      <c r="C352" s="56" t="s">
        <v>102</v>
      </c>
      <c r="D352" s="31"/>
      <c r="E352" s="31"/>
      <c r="F352" s="31"/>
      <c r="G352" s="31"/>
      <c r="H352" s="31"/>
      <c r="I352" s="108"/>
      <c r="J352" s="107"/>
    </row>
    <row r="353" spans="1:10" ht="12.75">
      <c r="A353" s="13">
        <f t="shared" si="14"/>
        <v>288</v>
      </c>
      <c r="B353" s="57"/>
      <c r="C353" s="56" t="s">
        <v>229</v>
      </c>
      <c r="D353" s="31"/>
      <c r="E353" s="31"/>
      <c r="F353" s="31"/>
      <c r="G353" s="31"/>
      <c r="H353" s="31"/>
      <c r="I353" s="108"/>
      <c r="J353" s="107"/>
    </row>
    <row r="354" spans="1:10" ht="12.75">
      <c r="A354" s="13">
        <f t="shared" si="14"/>
        <v>289</v>
      </c>
      <c r="B354" s="57"/>
      <c r="C354" s="56" t="s">
        <v>161</v>
      </c>
      <c r="D354" s="31">
        <v>0</v>
      </c>
      <c r="E354" s="31"/>
      <c r="F354" s="31">
        <v>0</v>
      </c>
      <c r="G354" s="31">
        <v>0</v>
      </c>
      <c r="H354" s="31"/>
      <c r="I354" s="108"/>
      <c r="J354" s="107"/>
    </row>
    <row r="355" spans="1:10" s="4" customFormat="1" ht="15">
      <c r="A355" s="13">
        <f t="shared" si="14"/>
        <v>290</v>
      </c>
      <c r="B355" s="16">
        <v>853</v>
      </c>
      <c r="C355" s="17" t="s">
        <v>20</v>
      </c>
      <c r="D355" s="24">
        <f>D358+D364+D370+D376+D385+D391+D397</f>
        <v>650491</v>
      </c>
      <c r="E355" s="24">
        <f>E364+E370+E376+E385+E391+E397</f>
        <v>-633896</v>
      </c>
      <c r="F355" s="24">
        <f>F358+F364+F370+F376+F385+F391+F397</f>
        <v>646713</v>
      </c>
      <c r="G355" s="24">
        <f>G358+G364+G370+G376+G385+G391+G397</f>
        <v>0</v>
      </c>
      <c r="H355" s="24" t="e">
        <f>H358+H364+H370+H376+H385+H391+H397</f>
        <v>#REF!</v>
      </c>
      <c r="I355" s="113">
        <f>G355/F355</f>
        <v>0</v>
      </c>
      <c r="J355" s="114">
        <f>G355/G$460</f>
        <v>0</v>
      </c>
    </row>
    <row r="356" spans="1:10" s="52" customFormat="1" ht="12.75">
      <c r="A356" s="13">
        <f t="shared" si="14"/>
        <v>291</v>
      </c>
      <c r="B356" s="53">
        <v>85313</v>
      </c>
      <c r="C356" s="50" t="s">
        <v>152</v>
      </c>
      <c r="D356" s="51"/>
      <c r="E356" s="51"/>
      <c r="F356" s="51"/>
      <c r="G356" s="51"/>
      <c r="H356" s="51"/>
      <c r="I356" s="108"/>
      <c r="J356" s="107"/>
    </row>
    <row r="357" spans="1:10" s="52" customFormat="1" ht="12.75">
      <c r="A357" s="13">
        <f t="shared" si="14"/>
        <v>292</v>
      </c>
      <c r="B357" s="86"/>
      <c r="C357" s="65" t="s">
        <v>153</v>
      </c>
      <c r="D357" s="51"/>
      <c r="E357" s="51"/>
      <c r="F357" s="51"/>
      <c r="G357" s="51"/>
      <c r="H357" s="51"/>
      <c r="I357" s="108"/>
      <c r="J357" s="107"/>
    </row>
    <row r="358" spans="1:10" s="52" customFormat="1" ht="12.75">
      <c r="A358" s="13">
        <f t="shared" si="14"/>
        <v>293</v>
      </c>
      <c r="B358" s="86"/>
      <c r="C358" s="50" t="s">
        <v>154</v>
      </c>
      <c r="D358" s="51">
        <f>D362</f>
        <v>15000</v>
      </c>
      <c r="E358" s="51"/>
      <c r="F358" s="51">
        <f>F362</f>
        <v>15000</v>
      </c>
      <c r="G358" s="51">
        <f>G362</f>
        <v>0</v>
      </c>
      <c r="H358" s="51">
        <f>H362</f>
        <v>10000</v>
      </c>
      <c r="I358" s="115">
        <f>G358/F358</f>
        <v>0</v>
      </c>
      <c r="J358" s="116">
        <f>G358/G$460</f>
        <v>0</v>
      </c>
    </row>
    <row r="359" spans="1:10" s="63" customFormat="1" ht="12.75">
      <c r="A359" s="13">
        <f t="shared" si="14"/>
        <v>294</v>
      </c>
      <c r="B359" s="57">
        <v>2010</v>
      </c>
      <c r="C359" s="9" t="s">
        <v>102</v>
      </c>
      <c r="D359" s="62"/>
      <c r="E359" s="62"/>
      <c r="F359" s="62"/>
      <c r="G359" s="62"/>
      <c r="H359" s="62"/>
      <c r="I359" s="108"/>
      <c r="J359" s="107"/>
    </row>
    <row r="360" spans="1:10" s="63" customFormat="1" ht="12.75">
      <c r="A360" s="13">
        <f t="shared" si="14"/>
        <v>295</v>
      </c>
      <c r="B360" s="57"/>
      <c r="C360" s="9" t="s">
        <v>228</v>
      </c>
      <c r="D360" s="62"/>
      <c r="E360" s="62"/>
      <c r="F360" s="62"/>
      <c r="G360" s="62"/>
      <c r="H360" s="62"/>
      <c r="I360" s="108"/>
      <c r="J360" s="107"/>
    </row>
    <row r="361" spans="1:10" s="63" customFormat="1" ht="12.75">
      <c r="A361" s="13">
        <f t="shared" si="14"/>
        <v>296</v>
      </c>
      <c r="B361" s="57"/>
      <c r="C361" s="9" t="s">
        <v>115</v>
      </c>
      <c r="D361" s="62"/>
      <c r="E361" s="62"/>
      <c r="F361" s="62"/>
      <c r="G361" s="62"/>
      <c r="H361" s="62"/>
      <c r="I361" s="108"/>
      <c r="J361" s="107"/>
    </row>
    <row r="362" spans="1:10" s="63" customFormat="1" ht="12.75">
      <c r="A362" s="13">
        <f t="shared" si="14"/>
        <v>297</v>
      </c>
      <c r="B362" s="57"/>
      <c r="C362" s="9" t="s">
        <v>104</v>
      </c>
      <c r="D362" s="62">
        <v>15000</v>
      </c>
      <c r="E362" s="62"/>
      <c r="F362" s="62">
        <v>15000</v>
      </c>
      <c r="G362" s="62">
        <v>0</v>
      </c>
      <c r="H362" s="62">
        <v>10000</v>
      </c>
      <c r="I362" s="108">
        <f>G362/F362</f>
        <v>0</v>
      </c>
      <c r="J362" s="107">
        <f>G362/G$460</f>
        <v>0</v>
      </c>
    </row>
    <row r="363" spans="1:10" s="3" customFormat="1" ht="12.75">
      <c r="A363" s="13">
        <f t="shared" si="14"/>
        <v>298</v>
      </c>
      <c r="B363" s="18">
        <v>85314</v>
      </c>
      <c r="C363" s="19" t="s">
        <v>47</v>
      </c>
      <c r="D363" s="25"/>
      <c r="E363" s="25"/>
      <c r="F363" s="25"/>
      <c r="G363" s="25"/>
      <c r="H363" s="25"/>
      <c r="I363" s="108"/>
      <c r="J363" s="107"/>
    </row>
    <row r="364" spans="1:10" s="3" customFormat="1" ht="12.75">
      <c r="A364" s="13">
        <f t="shared" si="14"/>
        <v>299</v>
      </c>
      <c r="B364" s="18"/>
      <c r="C364" s="19" t="s">
        <v>113</v>
      </c>
      <c r="D364" s="25">
        <f>D365+D369</f>
        <v>301924</v>
      </c>
      <c r="E364" s="25">
        <f>E365+E369</f>
        <v>-301924</v>
      </c>
      <c r="F364" s="25">
        <f>F365+F369</f>
        <v>302424</v>
      </c>
      <c r="G364" s="25">
        <f>G365+G369</f>
        <v>0</v>
      </c>
      <c r="H364" s="25">
        <f>H365+H369</f>
        <v>278100</v>
      </c>
      <c r="I364" s="115">
        <f>G364/F364</f>
        <v>0</v>
      </c>
      <c r="J364" s="116">
        <f>G364/G$460</f>
        <v>0</v>
      </c>
    </row>
    <row r="365" spans="1:10" s="6" customFormat="1" ht="12.75">
      <c r="A365" s="13">
        <f t="shared" si="14"/>
        <v>300</v>
      </c>
      <c r="B365" s="54" t="s">
        <v>200</v>
      </c>
      <c r="C365" s="9" t="s">
        <v>72</v>
      </c>
      <c r="D365" s="39">
        <v>3000</v>
      </c>
      <c r="E365" s="31">
        <f>G365-D365</f>
        <v>-3000</v>
      </c>
      <c r="F365" s="31">
        <v>3500</v>
      </c>
      <c r="G365" s="39">
        <v>0</v>
      </c>
      <c r="H365" s="39">
        <v>100</v>
      </c>
      <c r="I365" s="108"/>
      <c r="J365" s="107">
        <f>G365/G$460</f>
        <v>0</v>
      </c>
    </row>
    <row r="366" spans="1:10" ht="12.75">
      <c r="A366" s="13">
        <f t="shared" si="14"/>
        <v>301</v>
      </c>
      <c r="B366" s="54">
        <v>2010</v>
      </c>
      <c r="C366" s="9" t="s">
        <v>102</v>
      </c>
      <c r="D366" s="31"/>
      <c r="E366" s="31"/>
      <c r="F366" s="31"/>
      <c r="G366" s="31"/>
      <c r="H366" s="31"/>
      <c r="I366" s="108"/>
      <c r="J366" s="107"/>
    </row>
    <row r="367" spans="1:10" ht="12.75">
      <c r="A367" s="13">
        <f t="shared" si="14"/>
        <v>302</v>
      </c>
      <c r="B367" s="54"/>
      <c r="C367" s="9" t="s">
        <v>228</v>
      </c>
      <c r="D367" s="31"/>
      <c r="E367" s="31"/>
      <c r="F367" s="31"/>
      <c r="G367" s="31"/>
      <c r="H367" s="31"/>
      <c r="I367" s="108"/>
      <c r="J367" s="107"/>
    </row>
    <row r="368" spans="1:10" ht="12.75">
      <c r="A368" s="13">
        <f t="shared" si="14"/>
        <v>303</v>
      </c>
      <c r="B368" s="54"/>
      <c r="C368" s="9" t="s">
        <v>115</v>
      </c>
      <c r="D368" s="31"/>
      <c r="E368" s="31"/>
      <c r="F368" s="31"/>
      <c r="G368" s="31"/>
      <c r="H368" s="31"/>
      <c r="I368" s="108"/>
      <c r="J368" s="107"/>
    </row>
    <row r="369" spans="1:10" ht="12.75">
      <c r="A369" s="13">
        <f t="shared" si="14"/>
        <v>304</v>
      </c>
      <c r="B369" s="54"/>
      <c r="C369" s="9" t="s">
        <v>104</v>
      </c>
      <c r="D369" s="31">
        <f>336800-39876+2000</f>
        <v>298924</v>
      </c>
      <c r="E369" s="31">
        <f>G369-D369</f>
        <v>-298924</v>
      </c>
      <c r="F369" s="31">
        <v>298924</v>
      </c>
      <c r="G369" s="31">
        <v>0</v>
      </c>
      <c r="H369" s="31">
        <v>278000</v>
      </c>
      <c r="I369" s="108">
        <f>G369/F369</f>
        <v>0</v>
      </c>
      <c r="J369" s="107">
        <f>G369/G$460</f>
        <v>0</v>
      </c>
    </row>
    <row r="370" spans="1:10" s="3" customFormat="1" ht="12.75">
      <c r="A370" s="13">
        <f t="shared" si="14"/>
        <v>305</v>
      </c>
      <c r="B370" s="18">
        <v>85315</v>
      </c>
      <c r="C370" s="19" t="s">
        <v>21</v>
      </c>
      <c r="D370" s="25">
        <f>SUM(D371:D374)</f>
        <v>117776</v>
      </c>
      <c r="E370" s="25">
        <f>E374</f>
        <v>-117621</v>
      </c>
      <c r="F370" s="25">
        <f>SUM(F371:F374)</f>
        <v>116998</v>
      </c>
      <c r="G370" s="25">
        <f>SUM(G371:G374)</f>
        <v>0</v>
      </c>
      <c r="H370" s="25">
        <f>H374</f>
        <v>0</v>
      </c>
      <c r="I370" s="115">
        <f>G370/F370</f>
        <v>0</v>
      </c>
      <c r="J370" s="107">
        <f>G370/G$460</f>
        <v>0</v>
      </c>
    </row>
    <row r="371" spans="1:10" s="3" customFormat="1" ht="12.75">
      <c r="A371" s="13">
        <f t="shared" si="14"/>
        <v>306</v>
      </c>
      <c r="B371" s="54" t="s">
        <v>200</v>
      </c>
      <c r="C371" s="9" t="s">
        <v>72</v>
      </c>
      <c r="D371" s="62">
        <v>155</v>
      </c>
      <c r="E371" s="62"/>
      <c r="F371" s="62">
        <v>155</v>
      </c>
      <c r="G371" s="62">
        <v>0</v>
      </c>
      <c r="H371" s="62"/>
      <c r="I371" s="108"/>
      <c r="J371" s="107"/>
    </row>
    <row r="372" spans="1:10" ht="12.75">
      <c r="A372" s="13">
        <f t="shared" si="14"/>
        <v>307</v>
      </c>
      <c r="B372" s="57">
        <v>2030</v>
      </c>
      <c r="C372" s="56" t="s">
        <v>102</v>
      </c>
      <c r="D372" s="31"/>
      <c r="E372" s="31"/>
      <c r="F372" s="31"/>
      <c r="G372" s="31"/>
      <c r="H372" s="31"/>
      <c r="I372" s="108"/>
      <c r="J372" s="107"/>
    </row>
    <row r="373" spans="1:10" ht="12.75">
      <c r="A373" s="13">
        <f t="shared" si="14"/>
        <v>308</v>
      </c>
      <c r="B373" s="57"/>
      <c r="C373" s="56" t="s">
        <v>229</v>
      </c>
      <c r="D373" s="31"/>
      <c r="E373" s="31"/>
      <c r="F373" s="31"/>
      <c r="G373" s="31"/>
      <c r="H373" s="31"/>
      <c r="I373" s="108"/>
      <c r="J373" s="107"/>
    </row>
    <row r="374" spans="1:10" ht="12.75">
      <c r="A374" s="13">
        <f t="shared" si="14"/>
        <v>309</v>
      </c>
      <c r="B374" s="57"/>
      <c r="C374" s="56" t="s">
        <v>112</v>
      </c>
      <c r="D374" s="31">
        <v>117621</v>
      </c>
      <c r="E374" s="31">
        <f>G374-D374</f>
        <v>-117621</v>
      </c>
      <c r="F374" s="31">
        <v>116843</v>
      </c>
      <c r="G374" s="31">
        <v>0</v>
      </c>
      <c r="H374" s="31">
        <v>0</v>
      </c>
      <c r="I374" s="108">
        <f>G374/F374</f>
        <v>0</v>
      </c>
      <c r="J374" s="107">
        <f>G374/G$460</f>
        <v>0</v>
      </c>
    </row>
    <row r="375" spans="1:10" s="3" customFormat="1" ht="12.75">
      <c r="A375" s="13">
        <f t="shared" si="14"/>
        <v>310</v>
      </c>
      <c r="B375" s="18">
        <v>85316</v>
      </c>
      <c r="C375" s="19" t="s">
        <v>49</v>
      </c>
      <c r="D375" s="25"/>
      <c r="E375" s="25"/>
      <c r="F375" s="25"/>
      <c r="G375" s="25"/>
      <c r="H375" s="25"/>
      <c r="I375" s="108"/>
      <c r="J375" s="107"/>
    </row>
    <row r="376" spans="1:10" s="3" customFormat="1" ht="12.75">
      <c r="A376" s="13">
        <f t="shared" si="14"/>
        <v>311</v>
      </c>
      <c r="B376" s="18"/>
      <c r="C376" s="19" t="s">
        <v>50</v>
      </c>
      <c r="D376" s="25">
        <f>D380</f>
        <v>47551</v>
      </c>
      <c r="E376" s="25">
        <f>E380</f>
        <v>-47551</v>
      </c>
      <c r="F376" s="25">
        <f>F380</f>
        <v>47551</v>
      </c>
      <c r="G376" s="25">
        <f>G380</f>
        <v>0</v>
      </c>
      <c r="H376" s="25">
        <f>H380</f>
        <v>35000</v>
      </c>
      <c r="I376" s="115">
        <f>G376/F376</f>
        <v>0</v>
      </c>
      <c r="J376" s="116">
        <f>G376/G$460</f>
        <v>0</v>
      </c>
    </row>
    <row r="377" spans="1:10" ht="12.75">
      <c r="A377" s="13">
        <f t="shared" si="14"/>
        <v>312</v>
      </c>
      <c r="B377" s="54">
        <v>2010</v>
      </c>
      <c r="C377" s="9" t="s">
        <v>102</v>
      </c>
      <c r="D377" s="31"/>
      <c r="E377" s="31"/>
      <c r="F377" s="31"/>
      <c r="G377" s="31"/>
      <c r="H377" s="31"/>
      <c r="I377" s="108"/>
      <c r="J377" s="107"/>
    </row>
    <row r="378" spans="1:10" ht="12.75">
      <c r="A378" s="13">
        <f t="shared" si="14"/>
        <v>313</v>
      </c>
      <c r="B378" s="54"/>
      <c r="C378" s="9" t="s">
        <v>228</v>
      </c>
      <c r="D378" s="31"/>
      <c r="E378" s="31"/>
      <c r="F378" s="31"/>
      <c r="G378" s="31"/>
      <c r="H378" s="31"/>
      <c r="I378" s="108"/>
      <c r="J378" s="107"/>
    </row>
    <row r="379" spans="1:10" ht="12.75">
      <c r="A379" s="13">
        <f t="shared" si="14"/>
        <v>314</v>
      </c>
      <c r="B379" s="54"/>
      <c r="C379" s="9" t="s">
        <v>115</v>
      </c>
      <c r="D379" s="31"/>
      <c r="E379" s="31"/>
      <c r="F379" s="31"/>
      <c r="G379" s="31"/>
      <c r="H379" s="31"/>
      <c r="I379" s="108"/>
      <c r="J379" s="107"/>
    </row>
    <row r="380" spans="1:10" ht="12.75">
      <c r="A380" s="13">
        <f t="shared" si="14"/>
        <v>315</v>
      </c>
      <c r="B380" s="54"/>
      <c r="C380" s="9" t="s">
        <v>104</v>
      </c>
      <c r="D380" s="31">
        <f>50400-6108+3259</f>
        <v>47551</v>
      </c>
      <c r="E380" s="31">
        <f>G380-D380</f>
        <v>-47551</v>
      </c>
      <c r="F380" s="31">
        <v>47551</v>
      </c>
      <c r="G380" s="31">
        <v>0</v>
      </c>
      <c r="H380" s="31">
        <v>35000</v>
      </c>
      <c r="I380" s="108">
        <f>G380/F380</f>
        <v>0</v>
      </c>
      <c r="J380" s="107">
        <f>G380/G$460</f>
        <v>0</v>
      </c>
    </row>
    <row r="381" spans="1:10" ht="12.75">
      <c r="A381" s="13"/>
      <c r="B381" s="54"/>
      <c r="C381" s="9"/>
      <c r="D381" s="31"/>
      <c r="E381" s="31"/>
      <c r="F381" s="31"/>
      <c r="G381" s="31"/>
      <c r="H381" s="31"/>
      <c r="I381" s="108"/>
      <c r="J381" s="107"/>
    </row>
    <row r="382" spans="1:10" ht="12.75">
      <c r="A382" s="13"/>
      <c r="B382" s="54"/>
      <c r="C382" s="9"/>
      <c r="D382" s="31"/>
      <c r="E382" s="31"/>
      <c r="F382" s="31"/>
      <c r="G382" s="31"/>
      <c r="H382" s="31"/>
      <c r="I382" s="108"/>
      <c r="J382" s="107"/>
    </row>
    <row r="383" spans="1:10" ht="12.75">
      <c r="A383" s="13"/>
      <c r="B383" s="54"/>
      <c r="C383" s="9"/>
      <c r="D383" s="31"/>
      <c r="E383" s="31"/>
      <c r="F383" s="31"/>
      <c r="G383" s="31"/>
      <c r="H383" s="31"/>
      <c r="I383" s="108"/>
      <c r="J383" s="107"/>
    </row>
    <row r="384" spans="1:10" ht="12.75">
      <c r="A384" s="13"/>
      <c r="B384" s="54"/>
      <c r="C384" s="9"/>
      <c r="D384" s="31"/>
      <c r="E384" s="31"/>
      <c r="F384" s="31"/>
      <c r="G384" s="31"/>
      <c r="H384" s="31"/>
      <c r="I384" s="108"/>
      <c r="J384" s="107"/>
    </row>
    <row r="385" spans="1:10" s="3" customFormat="1" ht="12.75">
      <c r="A385" s="13">
        <f>A380+1</f>
        <v>316</v>
      </c>
      <c r="B385" s="18">
        <v>85319</v>
      </c>
      <c r="C385" s="19" t="s">
        <v>48</v>
      </c>
      <c r="D385" s="25">
        <f>D389</f>
        <v>102400</v>
      </c>
      <c r="E385" s="25">
        <f>E389</f>
        <v>-102400</v>
      </c>
      <c r="F385" s="25">
        <f>F389</f>
        <v>102400</v>
      </c>
      <c r="G385" s="25">
        <f>G389</f>
        <v>0</v>
      </c>
      <c r="H385" s="25" t="e">
        <f>#REF!+H389</f>
        <v>#REF!</v>
      </c>
      <c r="I385" s="115">
        <f>G385/F385</f>
        <v>0</v>
      </c>
      <c r="J385" s="116">
        <f>G385/G$460</f>
        <v>0</v>
      </c>
    </row>
    <row r="386" spans="1:10" ht="12.75">
      <c r="A386" s="13">
        <f t="shared" si="14"/>
        <v>317</v>
      </c>
      <c r="B386" s="54">
        <v>2010</v>
      </c>
      <c r="C386" s="9" t="s">
        <v>102</v>
      </c>
      <c r="D386" s="31"/>
      <c r="E386" s="31"/>
      <c r="F386" s="31"/>
      <c r="G386" s="31"/>
      <c r="H386" s="31"/>
      <c r="I386" s="108"/>
      <c r="J386" s="107"/>
    </row>
    <row r="387" spans="1:10" ht="12.75">
      <c r="A387" s="13">
        <f t="shared" si="14"/>
        <v>318</v>
      </c>
      <c r="B387" s="54"/>
      <c r="C387" s="9" t="s">
        <v>228</v>
      </c>
      <c r="D387" s="31"/>
      <c r="E387" s="31"/>
      <c r="F387" s="31"/>
      <c r="G387" s="31"/>
      <c r="H387" s="31"/>
      <c r="I387" s="108"/>
      <c r="J387" s="107"/>
    </row>
    <row r="388" spans="1:10" ht="12.75">
      <c r="A388" s="13">
        <f t="shared" si="14"/>
        <v>319</v>
      </c>
      <c r="B388" s="54"/>
      <c r="C388" s="9" t="s">
        <v>115</v>
      </c>
      <c r="D388" s="31"/>
      <c r="E388" s="31"/>
      <c r="F388" s="31"/>
      <c r="G388" s="31"/>
      <c r="H388" s="31"/>
      <c r="I388" s="108"/>
      <c r="J388" s="107"/>
    </row>
    <row r="389" spans="1:10" ht="12.75">
      <c r="A389" s="13">
        <f t="shared" si="14"/>
        <v>320</v>
      </c>
      <c r="B389" s="54"/>
      <c r="C389" s="9" t="s">
        <v>104</v>
      </c>
      <c r="D389" s="31">
        <f>101500+900</f>
        <v>102400</v>
      </c>
      <c r="E389" s="31">
        <f>G389-D389</f>
        <v>-102400</v>
      </c>
      <c r="F389" s="31">
        <v>102400</v>
      </c>
      <c r="G389" s="31">
        <v>0</v>
      </c>
      <c r="H389" s="31">
        <v>100000</v>
      </c>
      <c r="I389" s="108">
        <f>G389/F389</f>
        <v>0</v>
      </c>
      <c r="J389" s="107">
        <f>G389/G$460</f>
        <v>0</v>
      </c>
    </row>
    <row r="390" spans="1:10" s="3" customFormat="1" ht="12.75">
      <c r="A390" s="13">
        <f t="shared" si="14"/>
        <v>321</v>
      </c>
      <c r="B390" s="18">
        <v>85328</v>
      </c>
      <c r="C390" s="19" t="s">
        <v>45</v>
      </c>
      <c r="D390" s="25"/>
      <c r="E390" s="25"/>
      <c r="F390" s="25"/>
      <c r="G390" s="25"/>
      <c r="H390" s="25"/>
      <c r="I390" s="108"/>
      <c r="J390" s="107"/>
    </row>
    <row r="391" spans="1:10" s="3" customFormat="1" ht="12.75">
      <c r="A391" s="13">
        <f t="shared" si="14"/>
        <v>322</v>
      </c>
      <c r="B391" s="18"/>
      <c r="C391" s="19" t="s">
        <v>46</v>
      </c>
      <c r="D391" s="25">
        <f>D392+D396</f>
        <v>7000</v>
      </c>
      <c r="E391" s="25">
        <f>E392+E396</f>
        <v>-7000</v>
      </c>
      <c r="F391" s="25">
        <f>F392+F396</f>
        <v>7500</v>
      </c>
      <c r="G391" s="25">
        <f>G392+G396</f>
        <v>0</v>
      </c>
      <c r="H391" s="25">
        <f>H392+H396</f>
        <v>5000</v>
      </c>
      <c r="I391" s="115">
        <f>G391/F391</f>
        <v>0</v>
      </c>
      <c r="J391" s="116">
        <f>G391/G$460</f>
        <v>0</v>
      </c>
    </row>
    <row r="392" spans="1:10" ht="12.75">
      <c r="A392" s="13">
        <f t="shared" si="14"/>
        <v>323</v>
      </c>
      <c r="B392" s="54" t="s">
        <v>207</v>
      </c>
      <c r="C392" s="9" t="s">
        <v>13</v>
      </c>
      <c r="D392" s="31">
        <v>7000</v>
      </c>
      <c r="E392" s="31">
        <f>G392-D392</f>
        <v>-7000</v>
      </c>
      <c r="F392" s="31">
        <v>7500</v>
      </c>
      <c r="G392" s="31">
        <v>0</v>
      </c>
      <c r="H392" s="31">
        <v>5000</v>
      </c>
      <c r="I392" s="108">
        <f>G392/F392</f>
        <v>0</v>
      </c>
      <c r="J392" s="107">
        <f>G392/G$460</f>
        <v>0</v>
      </c>
    </row>
    <row r="393" spans="1:10" ht="12.75">
      <c r="A393" s="13">
        <f t="shared" si="14"/>
        <v>324</v>
      </c>
      <c r="B393" s="54">
        <v>2010</v>
      </c>
      <c r="C393" s="9" t="s">
        <v>102</v>
      </c>
      <c r="D393" s="31"/>
      <c r="E393" s="31"/>
      <c r="F393" s="31"/>
      <c r="G393" s="31"/>
      <c r="H393" s="31"/>
      <c r="I393" s="108"/>
      <c r="J393" s="107"/>
    </row>
    <row r="394" spans="1:10" ht="12.75">
      <c r="A394" s="13">
        <f t="shared" si="14"/>
        <v>325</v>
      </c>
      <c r="B394" s="54"/>
      <c r="C394" s="9" t="s">
        <v>228</v>
      </c>
      <c r="D394" s="31"/>
      <c r="E394" s="31"/>
      <c r="F394" s="31"/>
      <c r="G394" s="31"/>
      <c r="H394" s="31"/>
      <c r="I394" s="108"/>
      <c r="J394" s="107"/>
    </row>
    <row r="395" spans="1:10" ht="12.75">
      <c r="A395" s="13">
        <f t="shared" si="14"/>
        <v>326</v>
      </c>
      <c r="B395" s="54"/>
      <c r="C395" s="9" t="s">
        <v>115</v>
      </c>
      <c r="D395" s="31"/>
      <c r="E395" s="31"/>
      <c r="F395" s="31"/>
      <c r="G395" s="31"/>
      <c r="H395" s="31"/>
      <c r="I395" s="108"/>
      <c r="J395" s="107"/>
    </row>
    <row r="396" spans="1:10" ht="12.75">
      <c r="A396" s="13">
        <f t="shared" si="14"/>
        <v>327</v>
      </c>
      <c r="B396" s="54"/>
      <c r="C396" s="9" t="s">
        <v>104</v>
      </c>
      <c r="D396" s="31">
        <v>0</v>
      </c>
      <c r="E396" s="31">
        <v>0</v>
      </c>
      <c r="F396" s="31">
        <v>0</v>
      </c>
      <c r="G396" s="31">
        <v>0</v>
      </c>
      <c r="H396" s="31">
        <v>0</v>
      </c>
      <c r="I396" s="108"/>
      <c r="J396" s="107"/>
    </row>
    <row r="397" spans="1:10" s="3" customFormat="1" ht="12.75">
      <c r="A397" s="13">
        <f t="shared" si="14"/>
        <v>328</v>
      </c>
      <c r="B397" s="18">
        <v>85395</v>
      </c>
      <c r="C397" s="19" t="s">
        <v>9</v>
      </c>
      <c r="D397" s="25">
        <f>SUM(D401:D407)</f>
        <v>58840</v>
      </c>
      <c r="E397" s="25">
        <f>SUM(E404:E407)</f>
        <v>-57400</v>
      </c>
      <c r="F397" s="25">
        <f>SUM(F401:F407)</f>
        <v>54840</v>
      </c>
      <c r="G397" s="25">
        <f>SUM(G401:G407)</f>
        <v>0</v>
      </c>
      <c r="H397" s="25">
        <f>SUM(H404:H407)</f>
        <v>0</v>
      </c>
      <c r="I397" s="115">
        <f>G397/F397</f>
        <v>0</v>
      </c>
      <c r="J397" s="116">
        <f>G397/G$460</f>
        <v>0</v>
      </c>
    </row>
    <row r="398" spans="1:10" s="3" customFormat="1" ht="12.75">
      <c r="A398" s="13">
        <f t="shared" si="14"/>
        <v>329</v>
      </c>
      <c r="B398" s="54">
        <v>2010</v>
      </c>
      <c r="C398" s="9" t="s">
        <v>102</v>
      </c>
      <c r="D398" s="25"/>
      <c r="E398" s="25"/>
      <c r="F398" s="25"/>
      <c r="G398" s="25"/>
      <c r="H398" s="25"/>
      <c r="I398" s="108"/>
      <c r="J398" s="107"/>
    </row>
    <row r="399" spans="1:10" s="3" customFormat="1" ht="12.75">
      <c r="A399" s="13">
        <f t="shared" si="14"/>
        <v>330</v>
      </c>
      <c r="B399" s="54"/>
      <c r="C399" s="9" t="s">
        <v>114</v>
      </c>
      <c r="D399" s="25"/>
      <c r="E399" s="25"/>
      <c r="F399" s="25"/>
      <c r="G399" s="25"/>
      <c r="H399" s="25"/>
      <c r="I399" s="108"/>
      <c r="J399" s="107"/>
    </row>
    <row r="400" spans="1:10" s="3" customFormat="1" ht="12.75">
      <c r="A400" s="13">
        <f aca="true" t="shared" si="15" ref="A400:A460">A399+1</f>
        <v>331</v>
      </c>
      <c r="B400" s="54"/>
      <c r="C400" s="9" t="s">
        <v>115</v>
      </c>
      <c r="D400" s="25"/>
      <c r="E400" s="25"/>
      <c r="F400" s="25"/>
      <c r="G400" s="25"/>
      <c r="H400" s="25"/>
      <c r="I400" s="108"/>
      <c r="J400" s="107"/>
    </row>
    <row r="401" spans="1:10" s="3" customFormat="1" ht="12.75">
      <c r="A401" s="13">
        <f t="shared" si="15"/>
        <v>332</v>
      </c>
      <c r="B401" s="54"/>
      <c r="C401" s="9" t="s">
        <v>104</v>
      </c>
      <c r="D401" s="62">
        <v>1440</v>
      </c>
      <c r="E401" s="25"/>
      <c r="F401" s="62">
        <v>1440</v>
      </c>
      <c r="G401" s="62">
        <v>0</v>
      </c>
      <c r="H401" s="101"/>
      <c r="I401" s="108">
        <f>G401/F401</f>
        <v>0</v>
      </c>
      <c r="J401" s="107">
        <f>G401/G$460</f>
        <v>0</v>
      </c>
    </row>
    <row r="402" spans="1:10" s="3" customFormat="1" ht="12.75">
      <c r="A402" s="13">
        <f t="shared" si="15"/>
        <v>333</v>
      </c>
      <c r="B402" s="57">
        <v>2030</v>
      </c>
      <c r="C402" s="56" t="s">
        <v>102</v>
      </c>
      <c r="D402" s="25"/>
      <c r="E402" s="25"/>
      <c r="F402" s="25"/>
      <c r="G402" s="25"/>
      <c r="H402" s="25"/>
      <c r="I402" s="108"/>
      <c r="J402" s="107"/>
    </row>
    <row r="403" spans="1:10" s="3" customFormat="1" ht="12.75">
      <c r="A403" s="13">
        <f t="shared" si="15"/>
        <v>334</v>
      </c>
      <c r="B403" s="57"/>
      <c r="C403" s="56" t="s">
        <v>111</v>
      </c>
      <c r="D403" s="25"/>
      <c r="E403" s="25"/>
      <c r="F403" s="25"/>
      <c r="G403" s="25"/>
      <c r="H403" s="25"/>
      <c r="I403" s="108"/>
      <c r="J403" s="107"/>
    </row>
    <row r="404" spans="1:10" s="3" customFormat="1" ht="12.75">
      <c r="A404" s="13">
        <f t="shared" si="15"/>
        <v>335</v>
      </c>
      <c r="B404" s="57"/>
      <c r="C404" s="56" t="s">
        <v>161</v>
      </c>
      <c r="D404" s="62">
        <v>57400</v>
      </c>
      <c r="E404" s="31">
        <f>G404-D404</f>
        <v>-57400</v>
      </c>
      <c r="F404" s="31">
        <v>53400</v>
      </c>
      <c r="G404" s="62">
        <v>0</v>
      </c>
      <c r="H404" s="62">
        <v>0</v>
      </c>
      <c r="I404" s="108">
        <f>G404/F404</f>
        <v>0</v>
      </c>
      <c r="J404" s="107">
        <f>G404/G$460</f>
        <v>0</v>
      </c>
    </row>
    <row r="405" spans="1:10" ht="12.75">
      <c r="A405" s="13">
        <f t="shared" si="15"/>
        <v>336</v>
      </c>
      <c r="B405" s="9">
        <v>2440</v>
      </c>
      <c r="C405" s="28" t="s">
        <v>150</v>
      </c>
      <c r="D405" s="31"/>
      <c r="E405" s="31"/>
      <c r="F405" s="31"/>
      <c r="G405" s="31"/>
      <c r="H405" s="31"/>
      <c r="I405" s="108"/>
      <c r="J405" s="107"/>
    </row>
    <row r="406" spans="1:10" ht="12.75">
      <c r="A406" s="13">
        <f t="shared" si="15"/>
        <v>337</v>
      </c>
      <c r="B406" s="9"/>
      <c r="C406" s="28" t="s">
        <v>116</v>
      </c>
      <c r="D406" s="31"/>
      <c r="E406" s="31"/>
      <c r="F406" s="31"/>
      <c r="G406" s="31"/>
      <c r="H406" s="31"/>
      <c r="I406" s="108"/>
      <c r="J406" s="107"/>
    </row>
    <row r="407" spans="1:10" ht="12.75">
      <c r="A407" s="13">
        <f t="shared" si="15"/>
        <v>338</v>
      </c>
      <c r="B407" s="9"/>
      <c r="C407" s="28" t="s">
        <v>162</v>
      </c>
      <c r="D407" s="31">
        <v>0</v>
      </c>
      <c r="E407" s="31">
        <f>G407-D407</f>
        <v>0</v>
      </c>
      <c r="F407" s="31">
        <v>0</v>
      </c>
      <c r="G407" s="31">
        <v>0</v>
      </c>
      <c r="H407" s="31">
        <v>0</v>
      </c>
      <c r="I407" s="108"/>
      <c r="J407" s="107">
        <f>G407/G$460</f>
        <v>0</v>
      </c>
    </row>
    <row r="408" spans="1:10" s="48" customFormat="1" ht="15">
      <c r="A408" s="13">
        <f t="shared" si="15"/>
        <v>339</v>
      </c>
      <c r="B408" s="49">
        <v>854</v>
      </c>
      <c r="C408" s="46" t="s">
        <v>42</v>
      </c>
      <c r="D408" s="47"/>
      <c r="E408" s="47"/>
      <c r="F408" s="47"/>
      <c r="G408" s="47"/>
      <c r="H408" s="47"/>
      <c r="I408" s="108"/>
      <c r="J408" s="107"/>
    </row>
    <row r="409" spans="1:10" s="48" customFormat="1" ht="15">
      <c r="A409" s="13">
        <f t="shared" si="15"/>
        <v>340</v>
      </c>
      <c r="B409" s="46"/>
      <c r="C409" s="46" t="s">
        <v>43</v>
      </c>
      <c r="D409" s="47">
        <f>D410+D414+D425+D431+D436</f>
        <v>403120</v>
      </c>
      <c r="E409" s="47">
        <f>E414+E425+E431+E436</f>
        <v>-402580</v>
      </c>
      <c r="F409" s="47">
        <f>F410+F414+F425+F431+F436</f>
        <v>408038</v>
      </c>
      <c r="G409" s="47">
        <f>G410+G414+G425+G431+G436</f>
        <v>0</v>
      </c>
      <c r="H409" s="47">
        <f>H414+H425+H431+H436</f>
        <v>323080</v>
      </c>
      <c r="I409" s="113">
        <f>G409/F409</f>
        <v>0</v>
      </c>
      <c r="J409" s="114">
        <f>G409/G$460</f>
        <v>0</v>
      </c>
    </row>
    <row r="410" spans="1:10" s="52" customFormat="1" ht="12.75">
      <c r="A410" s="13">
        <f t="shared" si="15"/>
        <v>341</v>
      </c>
      <c r="B410" s="53">
        <v>85401</v>
      </c>
      <c r="C410" s="50" t="s">
        <v>175</v>
      </c>
      <c r="D410" s="51">
        <f>D413</f>
        <v>0</v>
      </c>
      <c r="E410" s="51"/>
      <c r="F410" s="51">
        <f>F413</f>
        <v>0</v>
      </c>
      <c r="G410" s="51">
        <f>G413</f>
        <v>0</v>
      </c>
      <c r="H410" s="51"/>
      <c r="I410" s="115"/>
      <c r="J410" s="116">
        <f>G410/G$460</f>
        <v>0</v>
      </c>
    </row>
    <row r="411" spans="1:10" s="63" customFormat="1" ht="12.75">
      <c r="A411" s="13">
        <f t="shared" si="15"/>
        <v>342</v>
      </c>
      <c r="B411" s="57">
        <v>2030</v>
      </c>
      <c r="C411" s="56" t="s">
        <v>102</v>
      </c>
      <c r="D411" s="62"/>
      <c r="E411" s="62"/>
      <c r="F411" s="62"/>
      <c r="G411" s="62"/>
      <c r="H411" s="62"/>
      <c r="I411" s="108"/>
      <c r="J411" s="107"/>
    </row>
    <row r="412" spans="1:10" s="63" customFormat="1" ht="12.75">
      <c r="A412" s="13">
        <f t="shared" si="15"/>
        <v>343</v>
      </c>
      <c r="B412" s="57"/>
      <c r="C412" s="56" t="s">
        <v>111</v>
      </c>
      <c r="D412" s="62"/>
      <c r="E412" s="62"/>
      <c r="F412" s="62"/>
      <c r="G412" s="62"/>
      <c r="H412" s="62"/>
      <c r="I412" s="108"/>
      <c r="J412" s="107"/>
    </row>
    <row r="413" spans="1:10" s="63" customFormat="1" ht="12.75">
      <c r="A413" s="13">
        <f t="shared" si="15"/>
        <v>344</v>
      </c>
      <c r="B413" s="57"/>
      <c r="C413" s="56" t="s">
        <v>174</v>
      </c>
      <c r="D413" s="62">
        <v>0</v>
      </c>
      <c r="E413" s="62"/>
      <c r="F413" s="62">
        <v>0</v>
      </c>
      <c r="G413" s="62">
        <v>0</v>
      </c>
      <c r="H413" s="62"/>
      <c r="I413" s="108"/>
      <c r="J413" s="107"/>
    </row>
    <row r="414" spans="1:10" s="3" customFormat="1" ht="12.75">
      <c r="A414" s="13">
        <f t="shared" si="15"/>
        <v>345</v>
      </c>
      <c r="B414" s="22">
        <v>85404</v>
      </c>
      <c r="C414" s="19" t="s">
        <v>140</v>
      </c>
      <c r="D414" s="25">
        <f>SUM(D415:D422)</f>
        <v>209067</v>
      </c>
      <c r="E414" s="25">
        <f>SUM(E415:E422)</f>
        <v>-208527</v>
      </c>
      <c r="F414" s="25">
        <f>SUM(F415:F422)</f>
        <v>213977</v>
      </c>
      <c r="G414" s="25">
        <f>SUM(G415:G422)</f>
        <v>0</v>
      </c>
      <c r="H414" s="25">
        <f>SUM(H415:H421)</f>
        <v>168080</v>
      </c>
      <c r="I414" s="115">
        <f>G414/F414</f>
        <v>0</v>
      </c>
      <c r="J414" s="116">
        <f>G414/G$460</f>
        <v>0</v>
      </c>
    </row>
    <row r="415" spans="1:10" ht="12.75">
      <c r="A415" s="13">
        <f t="shared" si="15"/>
        <v>346</v>
      </c>
      <c r="B415" s="54" t="s">
        <v>196</v>
      </c>
      <c r="C415" s="9" t="s">
        <v>77</v>
      </c>
      <c r="D415" s="31">
        <v>101127</v>
      </c>
      <c r="E415" s="31">
        <f>G415-D415</f>
        <v>-101127</v>
      </c>
      <c r="F415" s="31">
        <v>101127</v>
      </c>
      <c r="G415" s="31">
        <v>0</v>
      </c>
      <c r="H415" s="31">
        <v>83800</v>
      </c>
      <c r="I415" s="108">
        <f>G415/F415</f>
        <v>0</v>
      </c>
      <c r="J415" s="107">
        <f>G415/G$460</f>
        <v>0</v>
      </c>
    </row>
    <row r="416" spans="1:10" ht="12.75">
      <c r="A416" s="13">
        <f t="shared" si="15"/>
        <v>347</v>
      </c>
      <c r="B416" s="54" t="s">
        <v>204</v>
      </c>
      <c r="C416" s="9" t="s">
        <v>75</v>
      </c>
      <c r="D416" s="31"/>
      <c r="E416" s="31"/>
      <c r="F416" s="31"/>
      <c r="G416" s="31"/>
      <c r="H416" s="31"/>
      <c r="I416" s="108"/>
      <c r="J416" s="107"/>
    </row>
    <row r="417" spans="1:10" ht="12.75">
      <c r="A417" s="13">
        <f t="shared" si="15"/>
        <v>348</v>
      </c>
      <c r="B417" s="54"/>
      <c r="C417" s="55" t="s">
        <v>176</v>
      </c>
      <c r="D417" s="31"/>
      <c r="E417" s="31"/>
      <c r="F417" s="31"/>
      <c r="G417" s="31"/>
      <c r="H417" s="31"/>
      <c r="I417" s="108"/>
      <c r="J417" s="107"/>
    </row>
    <row r="418" spans="1:10" ht="12.75">
      <c r="A418" s="13">
        <f t="shared" si="15"/>
        <v>349</v>
      </c>
      <c r="B418" s="54"/>
      <c r="C418" s="9" t="s">
        <v>177</v>
      </c>
      <c r="D418" s="31"/>
      <c r="E418" s="31"/>
      <c r="F418" s="31"/>
      <c r="G418" s="31"/>
      <c r="H418" s="31"/>
      <c r="I418" s="108"/>
      <c r="J418" s="107"/>
    </row>
    <row r="419" spans="1:10" ht="12.75">
      <c r="A419" s="13">
        <f t="shared" si="15"/>
        <v>350</v>
      </c>
      <c r="B419" s="54"/>
      <c r="C419" s="9" t="s">
        <v>182</v>
      </c>
      <c r="D419" s="31">
        <v>24600</v>
      </c>
      <c r="E419" s="31">
        <f>G419-D419</f>
        <v>-24600</v>
      </c>
      <c r="F419" s="31">
        <v>30000</v>
      </c>
      <c r="G419" s="31">
        <v>0</v>
      </c>
      <c r="H419" s="31">
        <v>0</v>
      </c>
      <c r="I419" s="108">
        <f>G419/F419</f>
        <v>0</v>
      </c>
      <c r="J419" s="107">
        <f>G419/G$460</f>
        <v>0</v>
      </c>
    </row>
    <row r="420" spans="1:10" ht="12.75">
      <c r="A420" s="13">
        <f t="shared" si="15"/>
        <v>351</v>
      </c>
      <c r="B420" s="54" t="s">
        <v>207</v>
      </c>
      <c r="C420" s="9" t="s">
        <v>13</v>
      </c>
      <c r="D420" s="31">
        <v>82700</v>
      </c>
      <c r="E420" s="31">
        <f>G420-D420</f>
        <v>-82700</v>
      </c>
      <c r="F420" s="31">
        <v>82700</v>
      </c>
      <c r="G420" s="31">
        <v>0</v>
      </c>
      <c r="H420" s="31">
        <v>83880</v>
      </c>
      <c r="I420" s="108">
        <f>G420/F420</f>
        <v>0</v>
      </c>
      <c r="J420" s="107">
        <f>G420/G$460</f>
        <v>0</v>
      </c>
    </row>
    <row r="421" spans="1:10" ht="12.75">
      <c r="A421" s="13">
        <f t="shared" si="15"/>
        <v>352</v>
      </c>
      <c r="B421" s="54" t="s">
        <v>209</v>
      </c>
      <c r="C421" s="9" t="s">
        <v>90</v>
      </c>
      <c r="D421" s="31">
        <v>100</v>
      </c>
      <c r="E421" s="31">
        <f>G421-D421</f>
        <v>-100</v>
      </c>
      <c r="F421" s="31">
        <v>0</v>
      </c>
      <c r="G421" s="31">
        <v>0</v>
      </c>
      <c r="H421" s="31">
        <v>400</v>
      </c>
      <c r="I421" s="108"/>
      <c r="J421" s="107">
        <f>G421/G$460</f>
        <v>0</v>
      </c>
    </row>
    <row r="422" spans="1:10" ht="12.75">
      <c r="A422" s="13">
        <f t="shared" si="15"/>
        <v>353</v>
      </c>
      <c r="B422" s="54" t="s">
        <v>200</v>
      </c>
      <c r="C422" s="9" t="s">
        <v>72</v>
      </c>
      <c r="D422" s="31">
        <v>540</v>
      </c>
      <c r="E422" s="31"/>
      <c r="F422" s="31">
        <v>150</v>
      </c>
      <c r="G422" s="31">
        <v>0</v>
      </c>
      <c r="H422" s="31"/>
      <c r="I422" s="108">
        <f>G422/F422</f>
        <v>0</v>
      </c>
      <c r="J422" s="107">
        <f>G422/G$460</f>
        <v>0</v>
      </c>
    </row>
    <row r="423" spans="1:10" s="3" customFormat="1" ht="12.75">
      <c r="A423" s="13">
        <f t="shared" si="15"/>
        <v>354</v>
      </c>
      <c r="B423" s="22">
        <v>85412</v>
      </c>
      <c r="C423" s="19" t="s">
        <v>44</v>
      </c>
      <c r="D423" s="25"/>
      <c r="E423" s="25"/>
      <c r="F423" s="25"/>
      <c r="G423" s="25"/>
      <c r="H423" s="25"/>
      <c r="I423" s="108"/>
      <c r="J423" s="107"/>
    </row>
    <row r="424" spans="1:10" s="3" customFormat="1" ht="12.75">
      <c r="A424" s="13">
        <f t="shared" si="15"/>
        <v>355</v>
      </c>
      <c r="B424" s="22"/>
      <c r="C424" s="19" t="s">
        <v>163</v>
      </c>
      <c r="D424" s="25"/>
      <c r="E424" s="25"/>
      <c r="F424" s="25"/>
      <c r="G424" s="25"/>
      <c r="H424" s="25"/>
      <c r="I424" s="108"/>
      <c r="J424" s="107"/>
    </row>
    <row r="425" spans="1:10" s="3" customFormat="1" ht="12.75">
      <c r="A425" s="13">
        <f t="shared" si="15"/>
        <v>356</v>
      </c>
      <c r="B425" s="22"/>
      <c r="C425" s="19" t="s">
        <v>198</v>
      </c>
      <c r="D425" s="25">
        <f>D426</f>
        <v>188817</v>
      </c>
      <c r="E425" s="25">
        <f>E426</f>
        <v>-188817</v>
      </c>
      <c r="F425" s="25">
        <f>F426</f>
        <v>188825</v>
      </c>
      <c r="G425" s="25">
        <f>G426</f>
        <v>0</v>
      </c>
      <c r="H425" s="25">
        <f>H426</f>
        <v>155000</v>
      </c>
      <c r="I425" s="115">
        <f>G425/F425</f>
        <v>0</v>
      </c>
      <c r="J425" s="116">
        <f>G425/G$460</f>
        <v>0</v>
      </c>
    </row>
    <row r="426" spans="1:10" ht="12.75">
      <c r="A426" s="13">
        <f t="shared" si="15"/>
        <v>357</v>
      </c>
      <c r="B426" s="54" t="s">
        <v>207</v>
      </c>
      <c r="C426" s="9" t="s">
        <v>13</v>
      </c>
      <c r="D426" s="31">
        <f>SUM(D428:D430)</f>
        <v>188817</v>
      </c>
      <c r="E426" s="31">
        <f>SUM(E428:E430)</f>
        <v>-188817</v>
      </c>
      <c r="F426" s="31">
        <f>SUM(F428:F430)</f>
        <v>188825</v>
      </c>
      <c r="G426" s="31">
        <f>SUM(G428:G430)</f>
        <v>0</v>
      </c>
      <c r="H426" s="31">
        <f>SUM(H428:H430)</f>
        <v>155000</v>
      </c>
      <c r="I426" s="108">
        <f>G426/F426</f>
        <v>0</v>
      </c>
      <c r="J426" s="107">
        <f>G426/G$460</f>
        <v>0</v>
      </c>
    </row>
    <row r="427" spans="1:10" ht="12.75">
      <c r="A427" s="13">
        <f t="shared" si="15"/>
        <v>358</v>
      </c>
      <c r="B427" s="9"/>
      <c r="C427" s="9" t="s">
        <v>11</v>
      </c>
      <c r="D427" s="31"/>
      <c r="E427" s="31"/>
      <c r="F427" s="31"/>
      <c r="G427" s="31"/>
      <c r="H427" s="31"/>
      <c r="I427" s="108"/>
      <c r="J427" s="107"/>
    </row>
    <row r="428" spans="1:10" ht="12.75">
      <c r="A428" s="13">
        <f t="shared" si="15"/>
        <v>359</v>
      </c>
      <c r="B428" s="9"/>
      <c r="C428" s="9" t="s">
        <v>108</v>
      </c>
      <c r="D428" s="31">
        <v>81967</v>
      </c>
      <c r="E428" s="31">
        <f>G428-D428</f>
        <v>-81967</v>
      </c>
      <c r="F428" s="31">
        <v>81968</v>
      </c>
      <c r="G428" s="31">
        <v>0</v>
      </c>
      <c r="H428" s="31">
        <v>120000</v>
      </c>
      <c r="I428" s="108">
        <f aca="true" t="shared" si="16" ref="I428:I436">G428/F428</f>
        <v>0</v>
      </c>
      <c r="J428" s="107">
        <f aca="true" t="shared" si="17" ref="J428:J436">G428/G$460</f>
        <v>0</v>
      </c>
    </row>
    <row r="429" spans="1:10" ht="12.75">
      <c r="A429" s="13">
        <f t="shared" si="15"/>
        <v>360</v>
      </c>
      <c r="B429" s="9"/>
      <c r="C429" s="9" t="s">
        <v>110</v>
      </c>
      <c r="D429" s="31">
        <v>41850</v>
      </c>
      <c r="E429" s="31">
        <f>G429-D429</f>
        <v>-41850</v>
      </c>
      <c r="F429" s="31">
        <v>41857</v>
      </c>
      <c r="G429" s="31">
        <v>0</v>
      </c>
      <c r="H429" s="31">
        <f>30000+5000</f>
        <v>35000</v>
      </c>
      <c r="I429" s="108">
        <f t="shared" si="16"/>
        <v>0</v>
      </c>
      <c r="J429" s="107">
        <f t="shared" si="17"/>
        <v>0</v>
      </c>
    </row>
    <row r="430" spans="1:10" ht="12.75">
      <c r="A430" s="13">
        <f t="shared" si="15"/>
        <v>361</v>
      </c>
      <c r="B430" s="9"/>
      <c r="C430" s="9" t="s">
        <v>126</v>
      </c>
      <c r="D430" s="31">
        <v>65000</v>
      </c>
      <c r="E430" s="31">
        <f>G430-D430</f>
        <v>-65000</v>
      </c>
      <c r="F430" s="31">
        <v>65000</v>
      </c>
      <c r="G430" s="31">
        <v>0</v>
      </c>
      <c r="H430" s="31">
        <v>0</v>
      </c>
      <c r="I430" s="108">
        <f t="shared" si="16"/>
        <v>0</v>
      </c>
      <c r="J430" s="107">
        <f t="shared" si="17"/>
        <v>0</v>
      </c>
    </row>
    <row r="431" spans="1:10" s="52" customFormat="1" ht="12.75" hidden="1">
      <c r="A431" s="13">
        <f t="shared" si="15"/>
        <v>362</v>
      </c>
      <c r="B431" s="53">
        <v>85414</v>
      </c>
      <c r="C431" s="50" t="s">
        <v>125</v>
      </c>
      <c r="D431" s="51">
        <f>D432</f>
        <v>0</v>
      </c>
      <c r="E431" s="51">
        <f>E432</f>
        <v>0</v>
      </c>
      <c r="F431" s="51"/>
      <c r="G431" s="51">
        <f>G432</f>
        <v>0</v>
      </c>
      <c r="H431" s="51"/>
      <c r="I431" s="108" t="e">
        <f t="shared" si="16"/>
        <v>#DIV/0!</v>
      </c>
      <c r="J431" s="107">
        <f t="shared" si="17"/>
        <v>0</v>
      </c>
    </row>
    <row r="432" spans="1:10" ht="12.75" hidden="1">
      <c r="A432" s="13">
        <f t="shared" si="15"/>
        <v>363</v>
      </c>
      <c r="B432" s="54" t="s">
        <v>76</v>
      </c>
      <c r="C432" s="9" t="s">
        <v>13</v>
      </c>
      <c r="D432" s="31">
        <f>SUM(D434:D435)</f>
        <v>0</v>
      </c>
      <c r="E432" s="31">
        <v>0</v>
      </c>
      <c r="F432" s="31"/>
      <c r="G432" s="31">
        <f>SUM(G434:G435)</f>
        <v>0</v>
      </c>
      <c r="H432" s="31"/>
      <c r="I432" s="108" t="e">
        <f t="shared" si="16"/>
        <v>#DIV/0!</v>
      </c>
      <c r="J432" s="107">
        <f t="shared" si="17"/>
        <v>0</v>
      </c>
    </row>
    <row r="433" spans="1:10" ht="12.75" hidden="1">
      <c r="A433" s="13">
        <f t="shared" si="15"/>
        <v>364</v>
      </c>
      <c r="B433" s="9"/>
      <c r="C433" s="9" t="s">
        <v>11</v>
      </c>
      <c r="D433" s="31"/>
      <c r="E433" s="31"/>
      <c r="F433" s="31"/>
      <c r="G433" s="31"/>
      <c r="H433" s="31"/>
      <c r="I433" s="108" t="e">
        <f t="shared" si="16"/>
        <v>#DIV/0!</v>
      </c>
      <c r="J433" s="107">
        <f t="shared" si="17"/>
        <v>0</v>
      </c>
    </row>
    <row r="434" spans="1:10" ht="12.75" hidden="1">
      <c r="A434" s="13">
        <f t="shared" si="15"/>
        <v>365</v>
      </c>
      <c r="B434" s="9"/>
      <c r="C434" s="9" t="s">
        <v>108</v>
      </c>
      <c r="D434" s="31">
        <v>0</v>
      </c>
      <c r="E434" s="31">
        <v>0</v>
      </c>
      <c r="F434" s="31"/>
      <c r="G434" s="31">
        <v>0</v>
      </c>
      <c r="H434" s="31"/>
      <c r="I434" s="108" t="e">
        <f t="shared" si="16"/>
        <v>#DIV/0!</v>
      </c>
      <c r="J434" s="107">
        <f t="shared" si="17"/>
        <v>0</v>
      </c>
    </row>
    <row r="435" spans="1:10" ht="12.75" hidden="1">
      <c r="A435" s="13">
        <f t="shared" si="15"/>
        <v>366</v>
      </c>
      <c r="B435" s="9"/>
      <c r="C435" s="9" t="s">
        <v>126</v>
      </c>
      <c r="D435" s="31">
        <v>0</v>
      </c>
      <c r="E435" s="31">
        <v>0</v>
      </c>
      <c r="F435" s="31"/>
      <c r="G435" s="31">
        <v>0</v>
      </c>
      <c r="H435" s="31"/>
      <c r="I435" s="108" t="e">
        <f t="shared" si="16"/>
        <v>#DIV/0!</v>
      </c>
      <c r="J435" s="107">
        <f t="shared" si="17"/>
        <v>0</v>
      </c>
    </row>
    <row r="436" spans="1:10" s="52" customFormat="1" ht="12.75">
      <c r="A436" s="13">
        <f t="shared" si="15"/>
        <v>367</v>
      </c>
      <c r="B436" s="53">
        <v>85495</v>
      </c>
      <c r="C436" s="50" t="s">
        <v>9</v>
      </c>
      <c r="D436" s="51">
        <f>SUM(D438)</f>
        <v>5236</v>
      </c>
      <c r="E436" s="51">
        <f>SUM(E438)</f>
        <v>-5236</v>
      </c>
      <c r="F436" s="51">
        <f>SUM(F438)</f>
        <v>5236</v>
      </c>
      <c r="G436" s="51">
        <f>SUM(G438)</f>
        <v>0</v>
      </c>
      <c r="H436" s="51">
        <f>SUM(H438)</f>
        <v>0</v>
      </c>
      <c r="I436" s="115">
        <f t="shared" si="16"/>
        <v>0</v>
      </c>
      <c r="J436" s="116">
        <f t="shared" si="17"/>
        <v>0</v>
      </c>
    </row>
    <row r="437" spans="1:10" ht="12.75">
      <c r="A437" s="13">
        <f t="shared" si="15"/>
        <v>368</v>
      </c>
      <c r="B437" s="9">
        <v>2030</v>
      </c>
      <c r="C437" s="9" t="s">
        <v>144</v>
      </c>
      <c r="D437" s="31"/>
      <c r="E437" s="31"/>
      <c r="F437" s="31"/>
      <c r="G437" s="31"/>
      <c r="H437" s="31"/>
      <c r="I437" s="108"/>
      <c r="J437" s="107"/>
    </row>
    <row r="438" spans="1:10" ht="12.75">
      <c r="A438" s="13">
        <f t="shared" si="15"/>
        <v>369</v>
      </c>
      <c r="B438" s="9"/>
      <c r="C438" s="9" t="s">
        <v>145</v>
      </c>
      <c r="D438" s="31">
        <v>5236</v>
      </c>
      <c r="E438" s="31">
        <f>G438-D438</f>
        <v>-5236</v>
      </c>
      <c r="F438" s="31">
        <v>5236</v>
      </c>
      <c r="G438" s="31">
        <v>0</v>
      </c>
      <c r="H438" s="31"/>
      <c r="I438" s="108">
        <f>G438/F438</f>
        <v>0</v>
      </c>
      <c r="J438" s="107">
        <f>G438/G$460</f>
        <v>0</v>
      </c>
    </row>
    <row r="439" spans="1:10" ht="12.75">
      <c r="A439" s="13"/>
      <c r="B439" s="9"/>
      <c r="C439" s="9"/>
      <c r="D439" s="31"/>
      <c r="E439" s="31"/>
      <c r="F439" s="31"/>
      <c r="G439" s="31"/>
      <c r="H439" s="31"/>
      <c r="I439" s="108"/>
      <c r="J439" s="107"/>
    </row>
    <row r="440" spans="1:10" ht="12.75">
      <c r="A440" s="13"/>
      <c r="B440" s="9"/>
      <c r="C440" s="9"/>
      <c r="D440" s="31"/>
      <c r="E440" s="31"/>
      <c r="F440" s="31"/>
      <c r="G440" s="31"/>
      <c r="H440" s="31"/>
      <c r="I440" s="108"/>
      <c r="J440" s="107"/>
    </row>
    <row r="441" spans="1:10" ht="12.75">
      <c r="A441" s="13"/>
      <c r="B441" s="9"/>
      <c r="C441" s="9"/>
      <c r="D441" s="31"/>
      <c r="E441" s="31"/>
      <c r="F441" s="31"/>
      <c r="G441" s="31"/>
      <c r="H441" s="31"/>
      <c r="I441" s="108"/>
      <c r="J441" s="107"/>
    </row>
    <row r="442" spans="1:10" ht="12.75">
      <c r="A442" s="13"/>
      <c r="B442" s="9"/>
      <c r="C442" s="9"/>
      <c r="D442" s="31"/>
      <c r="E442" s="31"/>
      <c r="F442" s="31"/>
      <c r="G442" s="31"/>
      <c r="H442" s="31"/>
      <c r="I442" s="108"/>
      <c r="J442" s="107"/>
    </row>
    <row r="443" spans="1:10" ht="12.75">
      <c r="A443" s="13"/>
      <c r="B443" s="9"/>
      <c r="C443" s="9"/>
      <c r="D443" s="31"/>
      <c r="E443" s="31"/>
      <c r="F443" s="31"/>
      <c r="G443" s="31"/>
      <c r="H443" s="31"/>
      <c r="I443" s="108"/>
      <c r="J443" s="107"/>
    </row>
    <row r="444" spans="1:10" ht="12.75">
      <c r="A444" s="13"/>
      <c r="B444" s="9"/>
      <c r="C444" s="9"/>
      <c r="D444" s="31"/>
      <c r="E444" s="31"/>
      <c r="F444" s="31"/>
      <c r="G444" s="31"/>
      <c r="H444" s="31"/>
      <c r="I444" s="108"/>
      <c r="J444" s="107"/>
    </row>
    <row r="445" spans="1:10" ht="12.75">
      <c r="A445" s="13"/>
      <c r="B445" s="9"/>
      <c r="C445" s="9"/>
      <c r="D445" s="31"/>
      <c r="E445" s="31"/>
      <c r="F445" s="31"/>
      <c r="G445" s="31"/>
      <c r="H445" s="31"/>
      <c r="I445" s="108"/>
      <c r="J445" s="107"/>
    </row>
    <row r="446" spans="1:10" s="4" customFormat="1" ht="15">
      <c r="A446" s="13">
        <f>A438+1</f>
        <v>370</v>
      </c>
      <c r="B446" s="16">
        <v>900</v>
      </c>
      <c r="C446" s="17" t="s">
        <v>5</v>
      </c>
      <c r="D446" s="24"/>
      <c r="E446" s="24"/>
      <c r="F446" s="24"/>
      <c r="G446" s="24"/>
      <c r="H446" s="24"/>
      <c r="I446" s="108"/>
      <c r="J446" s="107"/>
    </row>
    <row r="447" spans="1:10" s="4" customFormat="1" ht="15">
      <c r="A447" s="13">
        <f t="shared" si="15"/>
        <v>371</v>
      </c>
      <c r="B447" s="16"/>
      <c r="C447" s="17" t="s">
        <v>40</v>
      </c>
      <c r="D447" s="24">
        <f>D448+D453</f>
        <v>101000</v>
      </c>
      <c r="E447" s="24">
        <f>E448+E453</f>
        <v>-101000</v>
      </c>
      <c r="F447" s="24">
        <f>F448+F453</f>
        <v>101000</v>
      </c>
      <c r="G447" s="24">
        <f>G448+G453</f>
        <v>0</v>
      </c>
      <c r="H447" s="24" t="e">
        <f>#REF!+H448+#REF!</f>
        <v>#REF!</v>
      </c>
      <c r="I447" s="113">
        <f>G447/F447</f>
        <v>0</v>
      </c>
      <c r="J447" s="114">
        <f>G447/G$460</f>
        <v>0</v>
      </c>
    </row>
    <row r="448" spans="1:10" s="52" customFormat="1" ht="12.75">
      <c r="A448" s="13">
        <f t="shared" si="15"/>
        <v>372</v>
      </c>
      <c r="B448" s="53">
        <v>90015</v>
      </c>
      <c r="C448" s="50" t="s">
        <v>101</v>
      </c>
      <c r="D448" s="51">
        <f>D452</f>
        <v>101000</v>
      </c>
      <c r="E448" s="51">
        <f>E452</f>
        <v>-101000</v>
      </c>
      <c r="F448" s="51">
        <f>F452</f>
        <v>101000</v>
      </c>
      <c r="G448" s="51">
        <f>G452</f>
        <v>0</v>
      </c>
      <c r="H448" s="51">
        <f>H452</f>
        <v>106000</v>
      </c>
      <c r="I448" s="113">
        <f>G448/F448</f>
        <v>0</v>
      </c>
      <c r="J448" s="114">
        <f>G448/G$460</f>
        <v>0</v>
      </c>
    </row>
    <row r="449" spans="1:10" s="63" customFormat="1" ht="12.75">
      <c r="A449" s="13">
        <f t="shared" si="15"/>
        <v>373</v>
      </c>
      <c r="B449" s="57">
        <v>2010</v>
      </c>
      <c r="C449" s="56" t="s">
        <v>102</v>
      </c>
      <c r="D449" s="62"/>
      <c r="E449" s="62"/>
      <c r="F449" s="62"/>
      <c r="G449" s="62"/>
      <c r="H449" s="62"/>
      <c r="I449" s="108"/>
      <c r="J449" s="107"/>
    </row>
    <row r="450" spans="1:10" s="63" customFormat="1" ht="12.75">
      <c r="A450" s="13">
        <f t="shared" si="15"/>
        <v>374</v>
      </c>
      <c r="B450" s="64"/>
      <c r="C450" s="56" t="s">
        <v>103</v>
      </c>
      <c r="D450" s="62"/>
      <c r="E450" s="62"/>
      <c r="F450" s="62"/>
      <c r="G450" s="62"/>
      <c r="H450" s="62"/>
      <c r="I450" s="108"/>
      <c r="J450" s="107"/>
    </row>
    <row r="451" spans="1:10" s="63" customFormat="1" ht="12.75">
      <c r="A451" s="13">
        <f t="shared" si="15"/>
        <v>375</v>
      </c>
      <c r="B451" s="64"/>
      <c r="C451" s="56" t="s">
        <v>183</v>
      </c>
      <c r="D451" s="62"/>
      <c r="E451" s="62"/>
      <c r="F451" s="62"/>
      <c r="G451" s="62"/>
      <c r="H451" s="62"/>
      <c r="I451" s="108"/>
      <c r="J451" s="107"/>
    </row>
    <row r="452" spans="1:10" s="63" customFormat="1" ht="12.75">
      <c r="A452" s="13">
        <f t="shared" si="15"/>
        <v>376</v>
      </c>
      <c r="B452" s="64"/>
      <c r="C452" s="56" t="s">
        <v>104</v>
      </c>
      <c r="D452" s="62">
        <v>101000</v>
      </c>
      <c r="E452" s="31">
        <f>G452-D452</f>
        <v>-101000</v>
      </c>
      <c r="F452" s="31">
        <v>101000</v>
      </c>
      <c r="G452" s="62">
        <v>0</v>
      </c>
      <c r="H452" s="62">
        <v>106000</v>
      </c>
      <c r="I452" s="108">
        <f>G452/F452</f>
        <v>0</v>
      </c>
      <c r="J452" s="107">
        <f>G452/G$460</f>
        <v>0</v>
      </c>
    </row>
    <row r="453" spans="1:10" s="52" customFormat="1" ht="12.75">
      <c r="A453" s="13">
        <f t="shared" si="15"/>
        <v>377</v>
      </c>
      <c r="B453" s="53">
        <v>90095</v>
      </c>
      <c r="C453" s="50" t="s">
        <v>9</v>
      </c>
      <c r="D453" s="51">
        <f>D454</f>
        <v>0</v>
      </c>
      <c r="E453" s="51">
        <f>E454</f>
        <v>0</v>
      </c>
      <c r="F453" s="51">
        <f>F454</f>
        <v>0</v>
      </c>
      <c r="G453" s="51">
        <f>G454</f>
        <v>0</v>
      </c>
      <c r="H453" s="51"/>
      <c r="I453" s="115"/>
      <c r="J453" s="116">
        <f>G453/G$460</f>
        <v>0</v>
      </c>
    </row>
    <row r="454" spans="1:10" s="63" customFormat="1" ht="12.75">
      <c r="A454" s="13">
        <f t="shared" si="15"/>
        <v>378</v>
      </c>
      <c r="B454" s="57" t="s">
        <v>200</v>
      </c>
      <c r="C454" s="9" t="s">
        <v>72</v>
      </c>
      <c r="D454" s="62">
        <v>0</v>
      </c>
      <c r="E454" s="31"/>
      <c r="F454" s="31">
        <v>0</v>
      </c>
      <c r="G454" s="62">
        <v>0</v>
      </c>
      <c r="H454" s="62"/>
      <c r="I454" s="108"/>
      <c r="J454" s="107">
        <f>G454/G$460</f>
        <v>0</v>
      </c>
    </row>
    <row r="455" spans="1:10" s="48" customFormat="1" ht="15">
      <c r="A455" s="13">
        <f t="shared" si="15"/>
        <v>379</v>
      </c>
      <c r="B455" s="49">
        <v>926</v>
      </c>
      <c r="C455" s="46" t="s">
        <v>191</v>
      </c>
      <c r="D455" s="47">
        <f>D456</f>
        <v>11600</v>
      </c>
      <c r="E455" s="47"/>
      <c r="F455" s="47">
        <f>F456</f>
        <v>11610</v>
      </c>
      <c r="G455" s="47">
        <f>G456</f>
        <v>0</v>
      </c>
      <c r="H455" s="47"/>
      <c r="I455" s="113"/>
      <c r="J455" s="114"/>
    </row>
    <row r="456" spans="1:10" s="48" customFormat="1" ht="15">
      <c r="A456" s="13">
        <f t="shared" si="15"/>
        <v>380</v>
      </c>
      <c r="B456" s="53">
        <v>92695</v>
      </c>
      <c r="C456" s="50" t="s">
        <v>9</v>
      </c>
      <c r="D456" s="47">
        <f>D457</f>
        <v>11600</v>
      </c>
      <c r="E456" s="47"/>
      <c r="F456" s="47">
        <f>F457</f>
        <v>11610</v>
      </c>
      <c r="G456" s="47">
        <f>G457</f>
        <v>0</v>
      </c>
      <c r="H456" s="47"/>
      <c r="I456" s="113"/>
      <c r="J456" s="114"/>
    </row>
    <row r="457" spans="1:10" s="63" customFormat="1" ht="12.75">
      <c r="A457" s="13">
        <f t="shared" si="15"/>
        <v>381</v>
      </c>
      <c r="B457" s="57" t="s">
        <v>200</v>
      </c>
      <c r="C457" s="9" t="s">
        <v>72</v>
      </c>
      <c r="D457" s="62">
        <v>11600</v>
      </c>
      <c r="E457" s="31"/>
      <c r="F457" s="31">
        <v>11610</v>
      </c>
      <c r="G457" s="62">
        <v>0</v>
      </c>
      <c r="H457" s="62"/>
      <c r="I457" s="108"/>
      <c r="J457" s="107"/>
    </row>
    <row r="458" spans="1:10" s="63" customFormat="1" ht="12.75">
      <c r="A458" s="13">
        <f t="shared" si="15"/>
        <v>382</v>
      </c>
      <c r="B458" s="57"/>
      <c r="C458" s="9"/>
      <c r="D458" s="62"/>
      <c r="E458" s="31"/>
      <c r="F458" s="31"/>
      <c r="G458" s="62"/>
      <c r="H458" s="62"/>
      <c r="I458" s="108"/>
      <c r="J458" s="107"/>
    </row>
    <row r="459" spans="1:10" ht="12.75">
      <c r="A459" s="13">
        <f t="shared" si="15"/>
        <v>383</v>
      </c>
      <c r="B459" s="11"/>
      <c r="C459" s="11"/>
      <c r="D459" s="35"/>
      <c r="E459" s="35"/>
      <c r="F459" s="35"/>
      <c r="G459" s="35"/>
      <c r="H459" s="35"/>
      <c r="I459" s="109"/>
      <c r="J459" s="110"/>
    </row>
    <row r="460" spans="1:10" ht="15">
      <c r="A460" s="14">
        <f t="shared" si="15"/>
        <v>384</v>
      </c>
      <c r="B460" s="11"/>
      <c r="C460" s="5" t="s">
        <v>7</v>
      </c>
      <c r="D460" s="40">
        <f>D447+D409+D355+D258+D233+D179+D169+D147+D116+D111+D77+D73+D66+D63+D455+D308</f>
        <v>16077672</v>
      </c>
      <c r="E460" s="40" t="e">
        <f>E447+E409+E355+E258+E233+E179+E169+E147+E116+E111+E77+E73+E66+E63+E455+E308</f>
        <v>#REF!</v>
      </c>
      <c r="F460" s="40">
        <f>F447+F409+F355+F258+F233+F179+F169+F147+F116+F111+F77+F73+F66+F63+F455+F308</f>
        <v>15384365</v>
      </c>
      <c r="G460" s="40">
        <f>G447+G409+G355+G258+G233+G179+G169+G147+G116+G111+G77+G73+G66+G63+G455+G308</f>
        <v>17017486</v>
      </c>
      <c r="H460" s="40" t="e">
        <f>#REF!+H447+H409+H355+H258+H233+H179+H169+H147+H116+H111+H77+H73+H66+H63</f>
        <v>#REF!</v>
      </c>
      <c r="I460" s="117">
        <f>G460/F460</f>
        <v>1.1061545926659957</v>
      </c>
      <c r="J460" s="118">
        <f>G460/G$460</f>
        <v>1</v>
      </c>
    </row>
  </sheetData>
  <printOptions/>
  <pageMargins left="0.1968503937007874" right="0" top="0.984251968503937" bottom="0.984251968503937" header="0.5118110236220472" footer="0.5118110236220472"/>
  <pageSetup horizontalDpi="300" verticalDpi="300" orientation="portrait" paperSize="9" r:id="rId1"/>
  <headerFooter alignWithMargins="0">
    <oddHeader>&amp;C&amp;F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Wanda Konarzewska</dc:creator>
  <cp:keywords/>
  <dc:description/>
  <cp:lastModifiedBy>.</cp:lastModifiedBy>
  <cp:lastPrinted>2004-02-02T08:06:07Z</cp:lastPrinted>
  <dcterms:created xsi:type="dcterms:W3CDTF">2000-09-26T13:15:05Z</dcterms:created>
  <dcterms:modified xsi:type="dcterms:W3CDTF">2003-12-10T09:00:47Z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